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10140" yWindow="0" windowWidth="10455" windowHeight="10905" tabRatio="639" activeTab="7"/>
  </bookViews>
  <sheets>
    <sheet name="Checklist" sheetId="57" r:id="rId1"/>
    <sheet name="F1" sheetId="58" r:id="rId2"/>
    <sheet name="F2" sheetId="66" r:id="rId3"/>
    <sheet name="F2.1" sheetId="67" r:id="rId4"/>
    <sheet name="F2.2" sheetId="68" r:id="rId5"/>
    <sheet name="F2.3" sheetId="69" r:id="rId6"/>
    <sheet name="F3" sheetId="93" r:id="rId7"/>
    <sheet name="F3.1" sheetId="101" r:id="rId8"/>
    <sheet name="F3.2" sheetId="109" r:id="rId9"/>
    <sheet name="F4" sheetId="102" r:id="rId10"/>
    <sheet name="F5" sheetId="103" r:id="rId11"/>
    <sheet name="F6" sheetId="104" r:id="rId12"/>
    <sheet name="F7" sheetId="105" r:id="rId13"/>
    <sheet name="F8" sheetId="106" r:id="rId14"/>
    <sheet name="F9" sheetId="64" r:id="rId15"/>
    <sheet name="F13" sheetId="71" r:id="rId16"/>
    <sheet name="F15" sheetId="91" r:id="rId17"/>
  </sheets>
  <externalReferences>
    <externalReference r:id="rId18"/>
    <externalReference r:id="rId19"/>
    <externalReference r:id="rId20"/>
  </externalReferences>
  <definedNames>
    <definedName name="__123Graph_A" localSheetId="6" hidden="1">[1]CE!#REF!</definedName>
    <definedName name="__123Graph_A" localSheetId="7" hidden="1">[1]CE!#REF!</definedName>
    <definedName name="__123Graph_A" localSheetId="9" hidden="1">[1]CE!#REF!</definedName>
    <definedName name="__123Graph_A" localSheetId="10" hidden="1">[1]CE!#REF!</definedName>
    <definedName name="__123Graph_A" localSheetId="11" hidden="1">[1]CE!#REF!</definedName>
    <definedName name="__123Graph_A" localSheetId="12" hidden="1">[1]CE!#REF!</definedName>
    <definedName name="__123Graph_A" localSheetId="13" hidden="1">[1]CE!#REF!</definedName>
    <definedName name="__123Graph_A" hidden="1">[1]CE!#REF!</definedName>
    <definedName name="__123Graph_ASTNPLF" localSheetId="6" hidden="1">[1]CE!#REF!</definedName>
    <definedName name="__123Graph_ASTNPLF" localSheetId="7" hidden="1">[1]CE!#REF!</definedName>
    <definedName name="__123Graph_ASTNPLF" localSheetId="9" hidden="1">[1]CE!#REF!</definedName>
    <definedName name="__123Graph_ASTNPLF" localSheetId="10" hidden="1">[1]CE!#REF!</definedName>
    <definedName name="__123Graph_ASTNPLF" localSheetId="11" hidden="1">[1]CE!#REF!</definedName>
    <definedName name="__123Graph_ASTNPLF" localSheetId="12" hidden="1">[1]CE!#REF!</definedName>
    <definedName name="__123Graph_ASTNPLF" localSheetId="13" hidden="1">[1]CE!#REF!</definedName>
    <definedName name="__123Graph_ASTNPLF" hidden="1">[1]CE!#REF!</definedName>
    <definedName name="__123Graph_B" localSheetId="6" hidden="1">[1]CE!#REF!</definedName>
    <definedName name="__123Graph_B" localSheetId="7" hidden="1">[1]CE!#REF!</definedName>
    <definedName name="__123Graph_B" localSheetId="9" hidden="1">[1]CE!#REF!</definedName>
    <definedName name="__123Graph_B" localSheetId="10" hidden="1">[1]CE!#REF!</definedName>
    <definedName name="__123Graph_B" localSheetId="11" hidden="1">[1]CE!#REF!</definedName>
    <definedName name="__123Graph_B" localSheetId="12" hidden="1">[1]CE!#REF!</definedName>
    <definedName name="__123Graph_B" localSheetId="13" hidden="1">[1]CE!#REF!</definedName>
    <definedName name="__123Graph_B" hidden="1">[1]CE!#REF!</definedName>
    <definedName name="__123Graph_BSTNPLF" localSheetId="6" hidden="1">[1]CE!#REF!</definedName>
    <definedName name="__123Graph_BSTNPLF" localSheetId="7" hidden="1">[1]CE!#REF!</definedName>
    <definedName name="__123Graph_BSTNPLF" localSheetId="9" hidden="1">[1]CE!#REF!</definedName>
    <definedName name="__123Graph_BSTNPLF" localSheetId="10" hidden="1">[1]CE!#REF!</definedName>
    <definedName name="__123Graph_BSTNPLF" localSheetId="11" hidden="1">[1]CE!#REF!</definedName>
    <definedName name="__123Graph_BSTNPLF" localSheetId="12" hidden="1">[1]CE!#REF!</definedName>
    <definedName name="__123Graph_BSTNPLF" localSheetId="13" hidden="1">[1]CE!#REF!</definedName>
    <definedName name="__123Graph_BSTNPLF" hidden="1">[1]CE!#REF!</definedName>
    <definedName name="__123Graph_C" localSheetId="6" hidden="1">[1]CE!#REF!</definedName>
    <definedName name="__123Graph_C" localSheetId="7" hidden="1">[1]CE!#REF!</definedName>
    <definedName name="__123Graph_C" localSheetId="9" hidden="1">[1]CE!#REF!</definedName>
    <definedName name="__123Graph_C" localSheetId="10" hidden="1">[1]CE!#REF!</definedName>
    <definedName name="__123Graph_C" localSheetId="11" hidden="1">[1]CE!#REF!</definedName>
    <definedName name="__123Graph_C" localSheetId="12" hidden="1">[1]CE!#REF!</definedName>
    <definedName name="__123Graph_C" localSheetId="13" hidden="1">[1]CE!#REF!</definedName>
    <definedName name="__123Graph_C" hidden="1">[1]CE!#REF!</definedName>
    <definedName name="__123Graph_CSTNPLF" localSheetId="6" hidden="1">[1]CE!#REF!</definedName>
    <definedName name="__123Graph_CSTNPLF" localSheetId="7" hidden="1">[1]CE!#REF!</definedName>
    <definedName name="__123Graph_CSTNPLF" localSheetId="9" hidden="1">[1]CE!#REF!</definedName>
    <definedName name="__123Graph_CSTNPLF" localSheetId="10" hidden="1">[1]CE!#REF!</definedName>
    <definedName name="__123Graph_CSTNPLF" localSheetId="11" hidden="1">[1]CE!#REF!</definedName>
    <definedName name="__123Graph_CSTNPLF" localSheetId="12" hidden="1">[1]CE!#REF!</definedName>
    <definedName name="__123Graph_CSTNPLF" localSheetId="13" hidden="1">[1]CE!#REF!</definedName>
    <definedName name="__123Graph_CSTNPLF" hidden="1">[1]CE!#REF!</definedName>
    <definedName name="__123Graph_X" localSheetId="6" hidden="1">[1]CE!#REF!</definedName>
    <definedName name="__123Graph_X" localSheetId="7" hidden="1">[1]CE!#REF!</definedName>
    <definedName name="__123Graph_X" localSheetId="9" hidden="1">[1]CE!#REF!</definedName>
    <definedName name="__123Graph_X" localSheetId="10" hidden="1">[1]CE!#REF!</definedName>
    <definedName name="__123Graph_X" localSheetId="11" hidden="1">[1]CE!#REF!</definedName>
    <definedName name="__123Graph_X" localSheetId="12" hidden="1">[1]CE!#REF!</definedName>
    <definedName name="__123Graph_X" localSheetId="13" hidden="1">[1]CE!#REF!</definedName>
    <definedName name="__123Graph_X" hidden="1">[1]CE!#REF!</definedName>
    <definedName name="__123Graph_XSTNPLF" localSheetId="6" hidden="1">[1]CE!#REF!</definedName>
    <definedName name="__123Graph_XSTNPLF" localSheetId="7" hidden="1">[1]CE!#REF!</definedName>
    <definedName name="__123Graph_XSTNPLF" localSheetId="9" hidden="1">[1]CE!#REF!</definedName>
    <definedName name="__123Graph_XSTNPLF" localSheetId="10" hidden="1">[1]CE!#REF!</definedName>
    <definedName name="__123Graph_XSTNPLF" localSheetId="11" hidden="1">[1]CE!#REF!</definedName>
    <definedName name="__123Graph_XSTNPLF" localSheetId="12" hidden="1">[1]CE!#REF!</definedName>
    <definedName name="__123Graph_XSTNPLF" localSheetId="13" hidden="1">[1]CE!#REF!</definedName>
    <definedName name="__123Graph_XSTNPLF" hidden="1">[1]CE!#REF!</definedName>
    <definedName name="_Fill" localSheetId="6" hidden="1">#REF!</definedName>
    <definedName name="_Fill" localSheetId="7" hidden="1">#REF!</definedName>
    <definedName name="_Fill" localSheetId="9" hidden="1">#REF!</definedName>
    <definedName name="_Fill" localSheetId="10" hidden="1">#REF!</definedName>
    <definedName name="_Fill" localSheetId="11" hidden="1">#REF!</definedName>
    <definedName name="_Fill" localSheetId="12" hidden="1">#REF!</definedName>
    <definedName name="_Fill" localSheetId="13" hidden="1">#REF!</definedName>
    <definedName name="_Fill" hidden="1">#REF!</definedName>
    <definedName name="_Order1" hidden="1">255</definedName>
    <definedName name="new" localSheetId="6" hidden="1">[2]CE!#REF!</definedName>
    <definedName name="new" localSheetId="7" hidden="1">[2]CE!#REF!</definedName>
    <definedName name="new" localSheetId="9" hidden="1">[2]CE!#REF!</definedName>
    <definedName name="new" localSheetId="10" hidden="1">[2]CE!#REF!</definedName>
    <definedName name="new" localSheetId="11" hidden="1">[2]CE!#REF!</definedName>
    <definedName name="new" localSheetId="12" hidden="1">[2]CE!#REF!</definedName>
    <definedName name="new" localSheetId="13" hidden="1">[2]CE!#REF!</definedName>
    <definedName name="new" hidden="1">[2]CE!#REF!</definedName>
    <definedName name="_xlnm.Print_Area" localSheetId="0">Checklist!$A$1:$E$26</definedName>
    <definedName name="_xlnm.Print_Area" localSheetId="12">'F7'!$B$1:$J$22</definedName>
    <definedName name="xxxx" localSheetId="6" hidden="1">[3]CE!#REF!</definedName>
    <definedName name="xxxx" localSheetId="7" hidden="1">[3]CE!#REF!</definedName>
    <definedName name="xxxx" localSheetId="9" hidden="1">[3]CE!#REF!</definedName>
    <definedName name="xxxx" localSheetId="10" hidden="1">[3]CE!#REF!</definedName>
    <definedName name="xxxx" localSheetId="11" hidden="1">[3]CE!#REF!</definedName>
    <definedName name="xxxx" localSheetId="12" hidden="1">[3]CE!#REF!</definedName>
    <definedName name="xxxx" localSheetId="13" hidden="1">[3]CE!#REF!</definedName>
    <definedName name="xxxx" hidden="1">[3]CE!#REF!</definedName>
  </definedNames>
  <calcPr calcId="144525" iterate="1" iterateCount="10000" iterateDelta="1.0000000000000001E-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8" i="91" l="1"/>
  <c r="E28" i="91"/>
  <c r="F28" i="91"/>
  <c r="G28" i="91"/>
  <c r="H28" i="91"/>
  <c r="I28" i="91"/>
  <c r="J28" i="91"/>
  <c r="K28" i="91"/>
  <c r="L28" i="91"/>
  <c r="M28" i="91"/>
  <c r="N28" i="91"/>
  <c r="D28" i="91"/>
  <c r="E24" i="91"/>
  <c r="F24" i="91"/>
  <c r="G24" i="91"/>
  <c r="H24" i="91"/>
  <c r="I24" i="91"/>
  <c r="J24" i="91"/>
  <c r="K24" i="91"/>
  <c r="L24" i="91"/>
  <c r="M24" i="91"/>
  <c r="N24" i="91"/>
  <c r="O24" i="91"/>
  <c r="D24" i="91"/>
  <c r="E20" i="91"/>
  <c r="F20" i="91"/>
  <c r="G20" i="91"/>
  <c r="H20" i="91"/>
  <c r="I20" i="91"/>
  <c r="J20" i="91"/>
  <c r="K20" i="91"/>
  <c r="L20" i="91"/>
  <c r="M20" i="91"/>
  <c r="N20" i="91"/>
  <c r="O20" i="91"/>
  <c r="D20" i="91"/>
  <c r="E35" i="67" l="1"/>
  <c r="F35" i="67"/>
  <c r="D35" i="67"/>
  <c r="E38" i="68"/>
  <c r="F38" i="68"/>
  <c r="D38" i="68"/>
  <c r="J29" i="106"/>
  <c r="H29" i="106"/>
  <c r="F29" i="106"/>
  <c r="E29" i="106"/>
  <c r="E18" i="69" l="1"/>
  <c r="F18" i="69"/>
  <c r="D18" i="69"/>
  <c r="P24" i="91"/>
  <c r="P28" i="91" s="1"/>
  <c r="P20" i="91"/>
  <c r="P18" i="91"/>
  <c r="P15" i="91"/>
  <c r="P14" i="91"/>
  <c r="P13" i="91"/>
  <c r="A8" i="91"/>
  <c r="A9" i="91" s="1"/>
  <c r="A10" i="91" s="1"/>
  <c r="A11" i="91" s="1"/>
  <c r="A12" i="91" s="1"/>
  <c r="A13" i="91" s="1"/>
  <c r="A14" i="91" s="1"/>
  <c r="A15" i="91" s="1"/>
  <c r="A16" i="91" s="1"/>
  <c r="A17" i="91" s="1"/>
  <c r="A18" i="91" s="1"/>
  <c r="A19" i="91" s="1"/>
  <c r="A20" i="91" s="1"/>
  <c r="A21" i="91" s="1"/>
  <c r="A22" i="91" s="1"/>
  <c r="A23" i="91" s="1"/>
  <c r="A24" i="91" s="1"/>
  <c r="A25" i="91" s="1"/>
  <c r="A28" i="91" s="1"/>
  <c r="A29" i="91" s="1"/>
  <c r="G50" i="102" l="1"/>
  <c r="H50" i="102"/>
  <c r="K50" i="102"/>
  <c r="L50" i="102"/>
  <c r="G35" i="102"/>
  <c r="H35" i="102"/>
  <c r="K35" i="102"/>
  <c r="J11" i="58" s="1"/>
  <c r="L35" i="102"/>
  <c r="G20" i="102"/>
  <c r="H20" i="102"/>
  <c r="J20" i="102"/>
  <c r="K20" i="102"/>
  <c r="L20" i="102"/>
  <c r="F20" i="102"/>
  <c r="O30" i="71" l="1"/>
  <c r="N32" i="71"/>
  <c r="M32" i="71"/>
  <c r="L32" i="71"/>
  <c r="K32" i="71"/>
  <c r="J32" i="71"/>
  <c r="I32" i="71"/>
  <c r="H32" i="71"/>
  <c r="G32" i="71"/>
  <c r="F32" i="71"/>
  <c r="E32" i="71"/>
  <c r="D32" i="71"/>
  <c r="C32" i="71"/>
  <c r="H20" i="71"/>
  <c r="G20" i="71"/>
  <c r="F20" i="71"/>
  <c r="E20" i="71"/>
  <c r="D20" i="71"/>
  <c r="C20" i="71"/>
  <c r="N22" i="71"/>
  <c r="M22" i="71"/>
  <c r="L22" i="71"/>
  <c r="K22" i="71"/>
  <c r="J22" i="71"/>
  <c r="I22" i="71"/>
  <c r="H18" i="71"/>
  <c r="H22" i="71" s="1"/>
  <c r="G18" i="71"/>
  <c r="G22" i="71" s="1"/>
  <c r="F18" i="71"/>
  <c r="F22" i="71" s="1"/>
  <c r="E18" i="71"/>
  <c r="E22" i="71" s="1"/>
  <c r="D18" i="71"/>
  <c r="D22" i="71" s="1"/>
  <c r="C18" i="71"/>
  <c r="C22" i="71" s="1"/>
  <c r="F12" i="71"/>
  <c r="D12" i="71"/>
  <c r="C12" i="71"/>
  <c r="N10" i="71"/>
  <c r="M10" i="71"/>
  <c r="L10" i="71"/>
  <c r="K10" i="71"/>
  <c r="J10" i="71"/>
  <c r="I10" i="71"/>
  <c r="H10" i="71"/>
  <c r="G10" i="71"/>
  <c r="E10" i="71"/>
  <c r="N8" i="71"/>
  <c r="N12" i="71" s="1"/>
  <c r="M8" i="71"/>
  <c r="M12" i="71" s="1"/>
  <c r="L8" i="71"/>
  <c r="K8" i="71"/>
  <c r="J8" i="71"/>
  <c r="J12" i="71" s="1"/>
  <c r="I8" i="71"/>
  <c r="I12" i="71" s="1"/>
  <c r="H8" i="71"/>
  <c r="G8" i="71"/>
  <c r="E8" i="71"/>
  <c r="E12" i="71" s="1"/>
  <c r="G12" i="71" l="1"/>
  <c r="K12" i="71"/>
  <c r="O20" i="71"/>
  <c r="H12" i="71"/>
  <c r="L12" i="71"/>
  <c r="O10" i="71"/>
  <c r="O8" i="71"/>
  <c r="O18" i="71"/>
  <c r="O28" i="71"/>
  <c r="O32" i="71" s="1"/>
  <c r="O12" i="71" l="1"/>
  <c r="O22" i="71"/>
  <c r="B10" i="106"/>
  <c r="B11" i="106" s="1"/>
  <c r="B12" i="106" s="1"/>
  <c r="B13" i="106" s="1"/>
  <c r="B14" i="106" s="1"/>
  <c r="B15" i="106" s="1"/>
  <c r="B16" i="106" s="1"/>
  <c r="B17" i="106" s="1"/>
  <c r="B18" i="106" s="1"/>
  <c r="B19" i="106" s="1"/>
  <c r="B20" i="106" s="1"/>
  <c r="B21" i="106" s="1"/>
  <c r="B22" i="106" s="1"/>
  <c r="B23" i="106" s="1"/>
  <c r="B24" i="106" s="1"/>
  <c r="B25" i="106" s="1"/>
  <c r="B26" i="106" s="1"/>
  <c r="B27" i="106" s="1"/>
  <c r="I18" i="103" l="1"/>
  <c r="G18" i="103"/>
  <c r="L15" i="58"/>
  <c r="D3" i="64" l="1"/>
  <c r="E3" i="106"/>
  <c r="D2" i="105"/>
  <c r="E2" i="104"/>
  <c r="E2" i="103"/>
  <c r="H3" i="102"/>
  <c r="D3" i="109"/>
  <c r="E3" i="93"/>
  <c r="B3" i="69"/>
  <c r="C2" i="68"/>
  <c r="A2" i="67"/>
  <c r="F3" i="66"/>
  <c r="I13" i="66"/>
  <c r="E12" i="104"/>
  <c r="H11" i="58"/>
  <c r="G11" i="58" s="1"/>
  <c r="F17" i="104"/>
  <c r="L11" i="58" l="1"/>
  <c r="D12" i="93" l="1"/>
  <c r="F10" i="58" l="1"/>
  <c r="K13" i="66" l="1"/>
  <c r="F9" i="105" l="1"/>
  <c r="F10" i="105" s="1"/>
  <c r="G9" i="105"/>
  <c r="G10" i="105" s="1"/>
  <c r="H9" i="105"/>
  <c r="H10" i="105" s="1"/>
  <c r="I9" i="105"/>
  <c r="I10" i="105" s="1"/>
  <c r="J9" i="105"/>
  <c r="J10" i="105" s="1"/>
  <c r="E9" i="105"/>
  <c r="E10" i="105" s="1"/>
  <c r="E8" i="105" l="1"/>
  <c r="D20" i="69"/>
  <c r="F13" i="103"/>
  <c r="G13" i="103"/>
  <c r="I13" i="103"/>
  <c r="E13" i="103"/>
  <c r="F12" i="103"/>
  <c r="G12" i="103"/>
  <c r="H12" i="103"/>
  <c r="I12" i="103"/>
  <c r="J12" i="103"/>
  <c r="E12" i="103"/>
  <c r="E9" i="103"/>
  <c r="E8" i="103"/>
  <c r="I12" i="93" l="1"/>
  <c r="K12" i="58"/>
  <c r="K14" i="58" l="1"/>
  <c r="K10" i="58"/>
  <c r="K13" i="58"/>
  <c r="G15" i="58" l="1"/>
  <c r="H15" i="58" s="1"/>
  <c r="K15" i="58"/>
  <c r="D25" i="106"/>
  <c r="K16" i="58" l="1"/>
  <c r="I13" i="104" s="1"/>
  <c r="I16" i="105"/>
  <c r="M11" i="102" l="1"/>
  <c r="J26" i="102" s="1"/>
  <c r="M12" i="102"/>
  <c r="J27" i="102" s="1"/>
  <c r="M15" i="102"/>
  <c r="M16" i="102"/>
  <c r="M17" i="102"/>
  <c r="M18" i="102"/>
  <c r="M19" i="102"/>
  <c r="M10" i="102"/>
  <c r="M14" i="102"/>
  <c r="J25" i="102" l="1"/>
  <c r="M27" i="102"/>
  <c r="J42" i="102" s="1"/>
  <c r="M42" i="102" s="1"/>
  <c r="J31" i="102"/>
  <c r="J33" i="102"/>
  <c r="M33" i="102" s="1"/>
  <c r="M25" i="102"/>
  <c r="J29" i="102"/>
  <c r="J34" i="102"/>
  <c r="M34" i="102" s="1"/>
  <c r="J32" i="102"/>
  <c r="M26" i="102"/>
  <c r="J41" i="102" s="1"/>
  <c r="J30" i="102"/>
  <c r="N13" i="102"/>
  <c r="I13" i="102"/>
  <c r="F28" i="102" s="1"/>
  <c r="N19" i="102"/>
  <c r="I19" i="102"/>
  <c r="F34" i="102" s="1"/>
  <c r="N18" i="102"/>
  <c r="I18" i="102"/>
  <c r="F33" i="102" s="1"/>
  <c r="N33" i="102" s="1"/>
  <c r="N17" i="102"/>
  <c r="I17" i="102"/>
  <c r="F32" i="102" s="1"/>
  <c r="N16" i="102"/>
  <c r="I16" i="102"/>
  <c r="F31" i="102" s="1"/>
  <c r="N15" i="102"/>
  <c r="I15" i="102"/>
  <c r="F30" i="102" s="1"/>
  <c r="N30" i="102" s="1"/>
  <c r="N14" i="102"/>
  <c r="N12" i="102"/>
  <c r="I12" i="102"/>
  <c r="N11" i="102"/>
  <c r="I11" i="102"/>
  <c r="N10" i="102"/>
  <c r="I10" i="102"/>
  <c r="N20" i="102" l="1"/>
  <c r="N34" i="102"/>
  <c r="N32" i="102"/>
  <c r="N31" i="102"/>
  <c r="M41" i="102"/>
  <c r="M30" i="102"/>
  <c r="J45" i="102" s="1"/>
  <c r="M45" i="102" s="1"/>
  <c r="M32" i="102"/>
  <c r="J47" i="102" s="1"/>
  <c r="M47" i="102" s="1"/>
  <c r="M29" i="102"/>
  <c r="J44" i="102" s="1"/>
  <c r="M44" i="102" s="1"/>
  <c r="J40" i="102"/>
  <c r="M31" i="102"/>
  <c r="J46" i="102" s="1"/>
  <c r="M46" i="102" s="1"/>
  <c r="F25" i="102"/>
  <c r="O11" i="102"/>
  <c r="F26" i="102"/>
  <c r="N26" i="102" s="1"/>
  <c r="O12" i="102"/>
  <c r="F27" i="102"/>
  <c r="N27" i="102" s="1"/>
  <c r="O15" i="102"/>
  <c r="O16" i="102"/>
  <c r="O17" i="102"/>
  <c r="O18" i="102"/>
  <c r="O19" i="102"/>
  <c r="J48" i="102"/>
  <c r="M48" i="102" s="1"/>
  <c r="O10" i="102"/>
  <c r="M13" i="102"/>
  <c r="M20" i="102" l="1"/>
  <c r="M40" i="102"/>
  <c r="J28" i="102"/>
  <c r="I34" i="102"/>
  <c r="I32" i="102"/>
  <c r="O32" i="102" s="1"/>
  <c r="I31" i="102"/>
  <c r="O31" i="102" s="1"/>
  <c r="I30" i="102"/>
  <c r="O30" i="102" s="1"/>
  <c r="I28" i="102"/>
  <c r="I27" i="102"/>
  <c r="O27" i="102" s="1"/>
  <c r="I26" i="102"/>
  <c r="O26" i="102" s="1"/>
  <c r="N25" i="102"/>
  <c r="I25" i="102"/>
  <c r="O13" i="102"/>
  <c r="J35" i="102" l="1"/>
  <c r="F40" i="102"/>
  <c r="F49" i="102"/>
  <c r="I49" i="102" s="1"/>
  <c r="O34" i="102"/>
  <c r="M28" i="102"/>
  <c r="N28" i="102"/>
  <c r="F41" i="102"/>
  <c r="F42" i="102"/>
  <c r="N42" i="102" s="1"/>
  <c r="F43" i="102"/>
  <c r="F45" i="102"/>
  <c r="N45" i="102" s="1"/>
  <c r="F46" i="102"/>
  <c r="N46" i="102" s="1"/>
  <c r="F47" i="102"/>
  <c r="N47" i="102" s="1"/>
  <c r="O25" i="102"/>
  <c r="I33" i="102"/>
  <c r="M35" i="102" l="1"/>
  <c r="I40" i="102"/>
  <c r="O40" i="102" s="1"/>
  <c r="N40" i="102"/>
  <c r="N41" i="102"/>
  <c r="F48" i="102"/>
  <c r="N48" i="102" s="1"/>
  <c r="O33" i="102"/>
  <c r="J43" i="102"/>
  <c r="O28" i="102"/>
  <c r="J49" i="102"/>
  <c r="I47" i="102"/>
  <c r="O47" i="102" s="1"/>
  <c r="I46" i="102"/>
  <c r="O46" i="102" s="1"/>
  <c r="I45" i="102"/>
  <c r="O45" i="102" s="1"/>
  <c r="I43" i="102"/>
  <c r="I42" i="102"/>
  <c r="O42" i="102" s="1"/>
  <c r="I41" i="102"/>
  <c r="J50" i="102" l="1"/>
  <c r="I48" i="102"/>
  <c r="O48" i="102" s="1"/>
  <c r="O41" i="102"/>
  <c r="M49" i="102"/>
  <c r="O49" i="102" s="1"/>
  <c r="N49" i="102"/>
  <c r="M43" i="102"/>
  <c r="N43" i="102"/>
  <c r="M50" i="102" l="1"/>
  <c r="O43" i="102"/>
  <c r="G11" i="104"/>
  <c r="I11" i="104"/>
  <c r="F25" i="67" l="1"/>
  <c r="F33" i="67" s="1"/>
  <c r="E25" i="67"/>
  <c r="E33" i="67" s="1"/>
  <c r="D25" i="67"/>
  <c r="D33" i="67" s="1"/>
  <c r="I11" i="66" l="1"/>
  <c r="K11" i="66"/>
  <c r="G10" i="103"/>
  <c r="E15" i="109"/>
  <c r="K21" i="58" l="1"/>
  <c r="D10" i="105"/>
  <c r="I16" i="104" l="1"/>
  <c r="D15" i="109"/>
  <c r="D12" i="105"/>
  <c r="D10" i="103"/>
  <c r="D11" i="104" l="1"/>
  <c r="F11" i="66"/>
  <c r="G11" i="66" s="1"/>
  <c r="F36" i="68"/>
  <c r="K12" i="66" s="1"/>
  <c r="E36" i="68"/>
  <c r="I12" i="66" s="1"/>
  <c r="I14" i="66" s="1"/>
  <c r="D36" i="68"/>
  <c r="F13" i="66"/>
  <c r="G13" i="66" s="1"/>
  <c r="G12" i="93"/>
  <c r="F15" i="109"/>
  <c r="D16" i="105"/>
  <c r="J16" i="105"/>
  <c r="H16" i="105"/>
  <c r="G16" i="105"/>
  <c r="F16" i="105"/>
  <c r="E16" i="105"/>
  <c r="G12" i="105"/>
  <c r="F12" i="66" l="1"/>
  <c r="F9" i="103"/>
  <c r="H9" i="103" s="1"/>
  <c r="F8" i="105"/>
  <c r="F18" i="105" s="1"/>
  <c r="K14" i="66"/>
  <c r="J11" i="104" s="1"/>
  <c r="H11" i="104"/>
  <c r="D9" i="109"/>
  <c r="D18" i="109" s="1"/>
  <c r="D21" i="109" s="1"/>
  <c r="F9" i="109"/>
  <c r="F18" i="109" s="1"/>
  <c r="F21" i="109" s="1"/>
  <c r="D18" i="105"/>
  <c r="D19" i="105" s="1"/>
  <c r="E9" i="109"/>
  <c r="E18" i="109" s="1"/>
  <c r="E21" i="109" s="1"/>
  <c r="I10" i="58"/>
  <c r="F12" i="58"/>
  <c r="I12" i="58"/>
  <c r="G18" i="105"/>
  <c r="G12" i="66" l="1"/>
  <c r="G14" i="66" s="1"/>
  <c r="F11" i="104" s="1"/>
  <c r="F14" i="66"/>
  <c r="E11" i="104" s="1"/>
  <c r="E18" i="105"/>
  <c r="F8" i="103"/>
  <c r="F10" i="103" s="1"/>
  <c r="E10" i="103"/>
  <c r="F12" i="93"/>
  <c r="H8" i="103"/>
  <c r="J10" i="58"/>
  <c r="H10" i="58"/>
  <c r="F17" i="103"/>
  <c r="G10" i="58"/>
  <c r="E12" i="93"/>
  <c r="H9" i="93" s="1"/>
  <c r="H12" i="93" s="1"/>
  <c r="J9" i="93" s="1"/>
  <c r="J12" i="93" s="1"/>
  <c r="E12" i="105"/>
  <c r="H8" i="105" s="1"/>
  <c r="F12" i="105"/>
  <c r="F19" i="105" s="1"/>
  <c r="F20" i="105" s="1"/>
  <c r="H14" i="58" s="1"/>
  <c r="D21" i="69"/>
  <c r="L10" i="58"/>
  <c r="G19" i="105"/>
  <c r="I14" i="58" s="1"/>
  <c r="F14" i="58"/>
  <c r="I14" i="102" l="1"/>
  <c r="E19" i="105"/>
  <c r="E20" i="105" s="1"/>
  <c r="G14" i="58" s="1"/>
  <c r="G12" i="104"/>
  <c r="J8" i="103"/>
  <c r="H10" i="103"/>
  <c r="H18" i="105"/>
  <c r="H12" i="105"/>
  <c r="I20" i="102" l="1"/>
  <c r="E20" i="102" s="1"/>
  <c r="F29" i="102"/>
  <c r="F35" i="102" s="1"/>
  <c r="O14" i="102"/>
  <c r="J8" i="105"/>
  <c r="H19" i="105"/>
  <c r="O20" i="102" l="1"/>
  <c r="H12" i="104"/>
  <c r="J12" i="104"/>
  <c r="N29" i="102"/>
  <c r="F12" i="104"/>
  <c r="H13" i="103"/>
  <c r="H15" i="103" s="1"/>
  <c r="E20" i="69"/>
  <c r="E21" i="69" s="1"/>
  <c r="I29" i="102"/>
  <c r="H20" i="105"/>
  <c r="J14" i="58" s="1"/>
  <c r="E14" i="103"/>
  <c r="E16" i="103" s="1"/>
  <c r="E15" i="103"/>
  <c r="F15" i="103"/>
  <c r="F14" i="103"/>
  <c r="F16" i="103" s="1"/>
  <c r="J18" i="105"/>
  <c r="J12" i="105"/>
  <c r="J15" i="58"/>
  <c r="I15" i="58"/>
  <c r="F15" i="58"/>
  <c r="I35" i="102" l="1"/>
  <c r="N35" i="102"/>
  <c r="F18" i="103"/>
  <c r="F20" i="103" s="1"/>
  <c r="H12" i="58" s="1"/>
  <c r="E18" i="103"/>
  <c r="E20" i="103" s="1"/>
  <c r="G12" i="58" s="1"/>
  <c r="O29" i="102"/>
  <c r="H14" i="103"/>
  <c r="H16" i="103" s="1"/>
  <c r="H18" i="103" s="1"/>
  <c r="H20" i="103" s="1"/>
  <c r="J12" i="58" s="1"/>
  <c r="J9" i="103"/>
  <c r="J10" i="103" s="1"/>
  <c r="F44" i="102"/>
  <c r="J19" i="105"/>
  <c r="J20" i="105" s="1"/>
  <c r="L14" i="58" s="1"/>
  <c r="F50" i="102" l="1"/>
  <c r="F20" i="69" s="1"/>
  <c r="F21" i="69" s="1"/>
  <c r="O35" i="102"/>
  <c r="N44" i="102"/>
  <c r="I44" i="102"/>
  <c r="E35" i="102"/>
  <c r="N50" i="102" l="1"/>
  <c r="I50" i="102"/>
  <c r="E50" i="102" s="1"/>
  <c r="O44" i="102"/>
  <c r="J13" i="103"/>
  <c r="J14" i="103" s="1"/>
  <c r="J16" i="103" s="1"/>
  <c r="J18" i="103" s="1"/>
  <c r="J20" i="103" s="1"/>
  <c r="L12" i="58" s="1"/>
  <c r="B19" i="58"/>
  <c r="B20" i="58" s="1"/>
  <c r="O50" i="102" l="1"/>
  <c r="J15" i="103"/>
  <c r="B9" i="105" l="1"/>
  <c r="B10" i="105" s="1"/>
  <c r="B11" i="105" s="1"/>
  <c r="B12" i="105" s="1"/>
  <c r="B14" i="105" s="1"/>
  <c r="B15" i="105" s="1"/>
  <c r="B16" i="105" s="1"/>
  <c r="B18" i="105" s="1"/>
  <c r="B9" i="104"/>
  <c r="B10" i="104" s="1"/>
  <c r="B11" i="104" s="1"/>
  <c r="B12" i="104" s="1"/>
  <c r="B13" i="104" s="1"/>
  <c r="B15" i="104" s="1"/>
  <c r="B16" i="104" s="1"/>
  <c r="B17" i="104" s="1"/>
  <c r="B18" i="104" s="1"/>
  <c r="B9" i="103"/>
  <c r="B10" i="103" s="1"/>
  <c r="B11" i="103" s="1"/>
  <c r="B12" i="103" s="1"/>
  <c r="B13" i="103" s="1"/>
  <c r="B14" i="103" s="1"/>
  <c r="B15" i="103" s="1"/>
  <c r="B16" i="103" s="1"/>
  <c r="B17" i="103" s="1"/>
  <c r="B18" i="103" s="1"/>
  <c r="B19" i="103" s="1"/>
  <c r="B20" i="103" s="1"/>
  <c r="B19" i="105" l="1"/>
  <c r="B20" i="105" s="1"/>
  <c r="B11" i="58"/>
  <c r="B12" i="58" s="1"/>
  <c r="B13" i="58" s="1"/>
  <c r="B14" i="58" s="1"/>
  <c r="B15" i="58" s="1"/>
  <c r="B16" i="58" s="1"/>
  <c r="B7" i="57" l="1"/>
  <c r="B8" i="57" s="1"/>
  <c r="B9" i="57" s="1"/>
  <c r="B10" i="57" s="1"/>
  <c r="B11" i="57" l="1"/>
  <c r="B12" i="57" s="1"/>
  <c r="B13" i="57" s="1"/>
  <c r="B12" i="66"/>
  <c r="B13" i="66" s="1"/>
  <c r="B14" i="66" s="1"/>
  <c r="B27" i="67"/>
  <c r="B28" i="67" s="1"/>
  <c r="B29" i="67" s="1"/>
  <c r="B30" i="67" s="1"/>
  <c r="B14" i="57" l="1"/>
  <c r="B15" i="57" s="1"/>
  <c r="B16" i="57" s="1"/>
  <c r="B17" i="57" s="1"/>
  <c r="B18" i="57" s="1"/>
  <c r="B19" i="57" s="1"/>
  <c r="B20" i="57" s="1"/>
  <c r="B21" i="57" l="1"/>
  <c r="B22" i="57" s="1"/>
  <c r="B23" i="57" s="1"/>
  <c r="B24" i="57" s="1"/>
  <c r="B25" i="57" s="1"/>
  <c r="B26" i="57" s="1"/>
  <c r="F13" i="58"/>
  <c r="I13" i="58"/>
  <c r="I16" i="58" s="1"/>
  <c r="I21" i="58" l="1"/>
  <c r="G13" i="104"/>
  <c r="F16" i="58"/>
  <c r="F21" i="58" s="1"/>
  <c r="D13" i="104" s="1"/>
  <c r="D16" i="104" s="1"/>
  <c r="G16" i="104" l="1"/>
  <c r="G13" i="58" l="1"/>
  <c r="H13" i="58"/>
  <c r="J13" i="58"/>
  <c r="L13" i="58"/>
  <c r="G16" i="58"/>
  <c r="H16" i="58"/>
  <c r="J16" i="58"/>
  <c r="L16" i="58"/>
  <c r="G21" i="58"/>
  <c r="H21" i="58"/>
  <c r="J21" i="58"/>
  <c r="L21" i="58"/>
  <c r="E13" i="104"/>
  <c r="F13" i="104"/>
  <c r="H13" i="104"/>
  <c r="J13" i="104"/>
  <c r="E16" i="104"/>
  <c r="F16" i="104"/>
  <c r="H16" i="104"/>
  <c r="J16" i="104"/>
  <c r="E18" i="104"/>
  <c r="F18" i="104"/>
  <c r="H18" i="104"/>
  <c r="J18" i="104"/>
</calcChain>
</file>

<file path=xl/sharedStrings.xml><?xml version="1.0" encoding="utf-8"?>
<sst xmlns="http://schemas.openxmlformats.org/spreadsheetml/2006/main" count="731" uniqueCount="352">
  <si>
    <t>Equity</t>
  </si>
  <si>
    <t>Reference</t>
  </si>
  <si>
    <t>S.No.</t>
  </si>
  <si>
    <t>Actual</t>
  </si>
  <si>
    <t>(Rs. Crore)</t>
  </si>
  <si>
    <t>Estimated</t>
  </si>
  <si>
    <t>Form 1</t>
  </si>
  <si>
    <t>Title</t>
  </si>
  <si>
    <t>Projected</t>
  </si>
  <si>
    <t>…</t>
  </si>
  <si>
    <t>Approved</t>
  </si>
  <si>
    <t>Remarks</t>
  </si>
  <si>
    <t>Audited</t>
  </si>
  <si>
    <t>Less: Expenses Capitalised</t>
  </si>
  <si>
    <t>Particulars</t>
  </si>
  <si>
    <t>Equity portion of capitalisation during the year</t>
  </si>
  <si>
    <t>Reduction in Equity Capital on account of retirement / replacement of assets</t>
  </si>
  <si>
    <t>Regulatory Equity at the end of the year</t>
  </si>
  <si>
    <t>Form 3</t>
  </si>
  <si>
    <t>Form 4</t>
  </si>
  <si>
    <t>Form 2.1</t>
  </si>
  <si>
    <t>Form 2.2</t>
  </si>
  <si>
    <t>Planned &amp; Forced Outages</t>
  </si>
  <si>
    <t>Form 3.1</t>
  </si>
  <si>
    <t>Form 3.2</t>
  </si>
  <si>
    <t>Form 5</t>
  </si>
  <si>
    <t>Form 6</t>
  </si>
  <si>
    <t>Form 7</t>
  </si>
  <si>
    <t>Form 8</t>
  </si>
  <si>
    <t>Form 9</t>
  </si>
  <si>
    <t>Form 10</t>
  </si>
  <si>
    <t>Form 11</t>
  </si>
  <si>
    <t>Operation &amp; Maintenance Expenses</t>
  </si>
  <si>
    <t>Interest on Working Capital</t>
  </si>
  <si>
    <t>Less: Non-Tariff Income</t>
  </si>
  <si>
    <t>Units</t>
  </si>
  <si>
    <t>%</t>
  </si>
  <si>
    <t>Target PLF for Incentive</t>
  </si>
  <si>
    <t>MU</t>
  </si>
  <si>
    <t xml:space="preserve">Note: </t>
  </si>
  <si>
    <t>Total Working Capital requirement</t>
  </si>
  <si>
    <t>A.</t>
  </si>
  <si>
    <t>Planned Outages</t>
  </si>
  <si>
    <t>No of days of outage</t>
  </si>
  <si>
    <t>Period of Outage</t>
  </si>
  <si>
    <t>Reasons for Outage</t>
  </si>
  <si>
    <t>B.</t>
  </si>
  <si>
    <t>Forced Outages</t>
  </si>
  <si>
    <t xml:space="preserve">Reasons for Outage </t>
  </si>
  <si>
    <t>……</t>
  </si>
  <si>
    <t>…….</t>
  </si>
  <si>
    <t>A</t>
  </si>
  <si>
    <t>A. For Existing Generating Stations</t>
  </si>
  <si>
    <t xml:space="preserve">Employee Expenses </t>
  </si>
  <si>
    <t>Total O&amp;M Expenses</t>
  </si>
  <si>
    <t>B</t>
  </si>
  <si>
    <t>C</t>
  </si>
  <si>
    <t>Basic Salary</t>
  </si>
  <si>
    <t>Dearness Allowance (DA)</t>
  </si>
  <si>
    <t>House Rent Allowance</t>
  </si>
  <si>
    <t>Conveyance Allowance</t>
  </si>
  <si>
    <t>Leave Travel Allowance</t>
  </si>
  <si>
    <t>Earned Leave Encashment</t>
  </si>
  <si>
    <t>Other Allowances</t>
  </si>
  <si>
    <t>Medical Reimbursement</t>
  </si>
  <si>
    <t>Overtime Payment</t>
  </si>
  <si>
    <t>Bonus/Ex-Gratia Payments</t>
  </si>
  <si>
    <t xml:space="preserve">Interim Relief / Wage Revision </t>
  </si>
  <si>
    <t>Staff welfare expenses</t>
  </si>
  <si>
    <t>VRS Expenses/Retrenchment Compensation</t>
  </si>
  <si>
    <t>Commission to Directors</t>
  </si>
  <si>
    <t>Training Expenses</t>
  </si>
  <si>
    <t>Payment under Workmen's Compensation Act</t>
  </si>
  <si>
    <t>Net Employee Costs</t>
  </si>
  <si>
    <t>Terminal Benefits</t>
  </si>
  <si>
    <t>Provident Fund Contribution</t>
  </si>
  <si>
    <t>Provision for PF Fund</t>
  </si>
  <si>
    <t>Pension Payments</t>
  </si>
  <si>
    <t>Gratuity Payment</t>
  </si>
  <si>
    <t>Others</t>
  </si>
  <si>
    <t xml:space="preserve">Gross Employee Expenses </t>
  </si>
  <si>
    <t xml:space="preserve">Net Employee Expenses </t>
  </si>
  <si>
    <t>Rent Rates &amp; Taxes</t>
  </si>
  <si>
    <t>Insurance</t>
  </si>
  <si>
    <t>Telephone &amp; Postage, etc.</t>
  </si>
  <si>
    <t>Legal charges &amp; Audit fee</t>
  </si>
  <si>
    <t>Professional, Consultancy, Technical fee</t>
  </si>
  <si>
    <t>Conveyance &amp; Travel</t>
  </si>
  <si>
    <t>Electricity charges</t>
  </si>
  <si>
    <t>Water charges</t>
  </si>
  <si>
    <t>Security arrangements</t>
  </si>
  <si>
    <t>Fees &amp; subscription</t>
  </si>
  <si>
    <t>Books &amp; periodicals</t>
  </si>
  <si>
    <t>Computer Stationery</t>
  </si>
  <si>
    <t>Printing &amp; Stationery</t>
  </si>
  <si>
    <t xml:space="preserve">Advertisements </t>
  </si>
  <si>
    <t>Purchase Related Advertisement Expenses</t>
  </si>
  <si>
    <t>Contribution/Donations</t>
  </si>
  <si>
    <t>License Fee  and other related fee</t>
  </si>
  <si>
    <t>Vehicle Running Expenses Truck / Delivery Van</t>
  </si>
  <si>
    <t>Vehicle Hiring Expenses Truck / Delivery Van</t>
  </si>
  <si>
    <t>Cost of services procured</t>
  </si>
  <si>
    <t>Outsourcing of metering and billing system</t>
  </si>
  <si>
    <t>Freight On Capital Equipments</t>
  </si>
  <si>
    <t>V-sat, Internet and related charges</t>
  </si>
  <si>
    <t>Training</t>
  </si>
  <si>
    <t>Bank Charges</t>
  </si>
  <si>
    <t>Miscellaneous Expenses</t>
  </si>
  <si>
    <t>Office Expenses</t>
  </si>
  <si>
    <t>Gross A &amp;G Expenses</t>
  </si>
  <si>
    <t xml:space="preserve">Net A &amp;G Expenses </t>
  </si>
  <si>
    <t>Plant &amp; Machinery</t>
  </si>
  <si>
    <t>Buildings</t>
  </si>
  <si>
    <t>Civil Works</t>
  </si>
  <si>
    <t>Hydraulic Works</t>
  </si>
  <si>
    <t>Lines &amp; Cable Networks</t>
  </si>
  <si>
    <t>Vehicles</t>
  </si>
  <si>
    <t>Furniture &amp; Fixtures</t>
  </si>
  <si>
    <t>Office Equipment</t>
  </si>
  <si>
    <t>Gross R&amp;M Expenses</t>
  </si>
  <si>
    <t>Gross Fixed Assets at beginning of year</t>
  </si>
  <si>
    <t>R&amp;M Expenses as % of GFA at beginning of year</t>
  </si>
  <si>
    <t>Additions during the year</t>
  </si>
  <si>
    <t>Total</t>
  </si>
  <si>
    <t>(MU)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</si>
  <si>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</si>
  <si>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</si>
  <si>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</si>
  <si>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</si>
  <si>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</si>
  <si>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</si>
  <si>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</si>
  <si>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</si>
  <si>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</si>
  <si>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</si>
  <si>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</si>
  <si>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</si>
  <si>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Actuals</t>
  </si>
  <si>
    <t xml:space="preserve"> Total</t>
  </si>
  <si>
    <t>Revenue from sale of electricity</t>
  </si>
  <si>
    <t>Non-Tariff Income</t>
  </si>
  <si>
    <t>Form 12</t>
  </si>
  <si>
    <t>Unit 1 / Station 1</t>
  </si>
  <si>
    <t>Unit 2 / Station 2</t>
  </si>
  <si>
    <t xml:space="preserve">Depreciation </t>
  </si>
  <si>
    <t>Form 13</t>
  </si>
  <si>
    <t>Total Revenue</t>
  </si>
  <si>
    <t>Normative Availability (%)</t>
  </si>
  <si>
    <t>Opening Balance of Gross Normative Loan</t>
  </si>
  <si>
    <t>Cumulative Repayment till the year</t>
  </si>
  <si>
    <t>Opening Balance of Net Normative Loan</t>
  </si>
  <si>
    <t>Less: Reduction of Normative Loan due to retirement or replacement of assets</t>
  </si>
  <si>
    <t>Closing Balance of Net Normative Loan</t>
  </si>
  <si>
    <t>Closing Balance of Gross Normative Loan</t>
  </si>
  <si>
    <t>Return on Equity Computation</t>
  </si>
  <si>
    <t>Total Return on Equity</t>
  </si>
  <si>
    <t>Repayment of Normative loan during the year</t>
  </si>
  <si>
    <t>Total Loan</t>
  </si>
  <si>
    <t>Justification</t>
  </si>
  <si>
    <t>Financing Details</t>
  </si>
  <si>
    <t>Internal Resources</t>
  </si>
  <si>
    <t>Financing of Additional Capitalisation</t>
  </si>
  <si>
    <t>Loan 2</t>
  </si>
  <si>
    <t>Loan 1</t>
  </si>
  <si>
    <t>S. No.</t>
  </si>
  <si>
    <t>Availability during the month (%)</t>
  </si>
  <si>
    <t>Cumulative Availability (%)</t>
  </si>
  <si>
    <t>Actual PLF during the month (%)</t>
  </si>
  <si>
    <t>Cumulative PLF (%)</t>
  </si>
  <si>
    <t>Gross  Generation (MU)</t>
  </si>
  <si>
    <t>Auxiliary Consumption (MU)</t>
  </si>
  <si>
    <t>Variable Charges Per Unit</t>
  </si>
  <si>
    <t>Fixed Charges During Month</t>
  </si>
  <si>
    <t>Incentive Amount</t>
  </si>
  <si>
    <t>Other recoveries/adjustments</t>
  </si>
  <si>
    <t>Rs./kWh</t>
  </si>
  <si>
    <t>Rs. Crore</t>
  </si>
  <si>
    <t>Total Revenue as per Audited Accounts</t>
  </si>
  <si>
    <t>True-Up requirement</t>
  </si>
  <si>
    <t xml:space="preserve">Details of outages should be submitted for each Unit of each station separately </t>
  </si>
  <si>
    <t>R &amp; M Expenses</t>
  </si>
  <si>
    <t>Weighted average Rate of Interest on actual Loans (%)</t>
  </si>
  <si>
    <t>Average Balance of Net Normative Loan</t>
  </si>
  <si>
    <t>Net Generation (MU)</t>
  </si>
  <si>
    <t>Generation above target PLF (MU)</t>
  </si>
  <si>
    <t>Approved Fixed Charges</t>
  </si>
  <si>
    <t>Amount of Fuel Surcharge Adjustment</t>
  </si>
  <si>
    <t>Summary of Capital Expenditure and Capitalisation</t>
  </si>
  <si>
    <t>Form 15</t>
  </si>
  <si>
    <t>Form 16</t>
  </si>
  <si>
    <t>Regulatory Equity at the beginning of the year</t>
  </si>
  <si>
    <t>Capitalisation during the year</t>
  </si>
  <si>
    <t>Return on Regulatory Equity at the beginning of the year</t>
  </si>
  <si>
    <t>Return on Regulatory Equity addition during the year</t>
  </si>
  <si>
    <t>Revenue from Sale of Electricity</t>
  </si>
  <si>
    <t>n+1</t>
  </si>
  <si>
    <t xml:space="preserve">April-March     </t>
  </si>
  <si>
    <t>Claimed</t>
  </si>
  <si>
    <t>April - March</t>
  </si>
  <si>
    <t>Interest and finance charges on loan</t>
  </si>
  <si>
    <t>Return on Equity</t>
  </si>
  <si>
    <t>Annual Fixed Charges</t>
  </si>
  <si>
    <t>Energy Charges</t>
  </si>
  <si>
    <t>Energy Charge Rate</t>
  </si>
  <si>
    <t>Scheduled Energy (ex-bus)</t>
  </si>
  <si>
    <t>Apr - Mar</t>
  </si>
  <si>
    <t>Apr-Mar</t>
  </si>
  <si>
    <t>A&amp;G Expenses</t>
  </si>
  <si>
    <t>Note:</t>
  </si>
  <si>
    <t>The projections for the Control Period to be supported by detailed computations</t>
  </si>
  <si>
    <t>Opening Capital Works in Progress</t>
  </si>
  <si>
    <t>Closing Capital Works in Progress</t>
  </si>
  <si>
    <t>FY</t>
  </si>
  <si>
    <t>Name of the work</t>
  </si>
  <si>
    <t>Scope of work</t>
  </si>
  <si>
    <t>Total estimated cost* (Rs. Crore)</t>
  </si>
  <si>
    <t>*</t>
  </si>
  <si>
    <t>Total estimated cost to be supported by documentary evidences like work orders, investment approvals etc.</t>
  </si>
  <si>
    <t>Capitalisation during the year (Rs. Crore)</t>
  </si>
  <si>
    <t>Relevant Clause of the TSERC MYT Regulation, 2023 under which the capitalisation has been claimed</t>
  </si>
  <si>
    <t>A/c Code</t>
  </si>
  <si>
    <t>Rate of Depriciation</t>
  </si>
  <si>
    <t xml:space="preserve">Gross fixed Assets </t>
  </si>
  <si>
    <t>Provisions for depreciation</t>
  </si>
  <si>
    <t xml:space="preserve">Net fixed Assets </t>
  </si>
  <si>
    <t>At the beginning of the year</t>
  </si>
  <si>
    <t>Adjust. &amp; deductions</t>
  </si>
  <si>
    <t>At the end of the year</t>
  </si>
  <si>
    <t>Cumulative upto the beginning of the year</t>
  </si>
  <si>
    <t>Adjust. during the year</t>
  </si>
  <si>
    <t>Cumulative at the end of the year</t>
  </si>
  <si>
    <t xml:space="preserve">Asset Group                                                                                                                                                </t>
  </si>
  <si>
    <t>Form 2</t>
  </si>
  <si>
    <t>Form 2.3</t>
  </si>
  <si>
    <t>Form 2.1: Employee Expenses</t>
  </si>
  <si>
    <t>Form 2.3: Repair &amp; Maintenance Expenses</t>
  </si>
  <si>
    <t>Form 3:  Summary of Capital Expenditure and Capitalisation</t>
  </si>
  <si>
    <t>Form 3.1:  Statement of Additional Capitalisation after COD</t>
  </si>
  <si>
    <t>Form 4:  Fixed Assets &amp; Depreciation</t>
  </si>
  <si>
    <t>Capital Expenditure during the year</t>
  </si>
  <si>
    <t>Form 5:  Interest and finance charges on loan</t>
  </si>
  <si>
    <t>Normative Loan</t>
  </si>
  <si>
    <t>Interest</t>
  </si>
  <si>
    <t>Finance charges</t>
  </si>
  <si>
    <t>Total Interest &amp; Finance charges</t>
  </si>
  <si>
    <t>Form 6:  Interest on working capital</t>
  </si>
  <si>
    <t>Cost of coal, towards stock</t>
  </si>
  <si>
    <t>Cost of coal for generation</t>
  </si>
  <si>
    <t>Cost of secondary fuel oil</t>
  </si>
  <si>
    <t>O&amp;M expenses</t>
  </si>
  <si>
    <t>Maintenance spares</t>
  </si>
  <si>
    <t>Less:</t>
  </si>
  <si>
    <t>Interest rate</t>
  </si>
  <si>
    <t>Interest on working capital</t>
  </si>
  <si>
    <t>Form 7:  Return on Equity</t>
  </si>
  <si>
    <t>Rate of Return on Equity</t>
  </si>
  <si>
    <t>Base rate of Return on Equity</t>
  </si>
  <si>
    <t>Effective Income Tax rate</t>
  </si>
  <si>
    <t>Form 8:  Non-Tariff Income</t>
  </si>
  <si>
    <t xml:space="preserve">April-March    </t>
  </si>
  <si>
    <t>Form 9:  Planned &amp; Forced Outages</t>
  </si>
  <si>
    <t>Form 3.2:  Financing of Additional Capitalisation</t>
  </si>
  <si>
    <t>Additional capitalisation</t>
  </si>
  <si>
    <t>Others (Please Specify)</t>
  </si>
  <si>
    <t>Total (2+3+4+5)</t>
  </si>
  <si>
    <r>
      <t xml:space="preserve">              </t>
    </r>
    <r>
      <rPr>
        <b/>
        <sz val="11"/>
        <rFont val="Arial"/>
        <family val="2"/>
      </rPr>
      <t xml:space="preserve">               </t>
    </r>
  </si>
  <si>
    <t>Form 13: Sales</t>
  </si>
  <si>
    <t>Beneficiary</t>
  </si>
  <si>
    <t>Fuel Surcharge</t>
  </si>
  <si>
    <t>Energy Charges Amount</t>
  </si>
  <si>
    <t>Form 15: Revenue Reconciliation</t>
  </si>
  <si>
    <t>MYT/Tariff Order</t>
  </si>
  <si>
    <t xml:space="preserve"> Tariff Filing Formats - Generation</t>
  </si>
  <si>
    <t>Form</t>
  </si>
  <si>
    <t>Checklist</t>
  </si>
  <si>
    <t>Tick</t>
  </si>
  <si>
    <t>Form 14</t>
  </si>
  <si>
    <t>Summary Sheet</t>
  </si>
  <si>
    <t>Form 2:  Operation and Maintenance Expenses</t>
  </si>
  <si>
    <t>Operation and Maintenance Expenses</t>
  </si>
  <si>
    <t>Employee Expenses</t>
  </si>
  <si>
    <t>Administration &amp; General Expenses</t>
  </si>
  <si>
    <t>Repair &amp; Maintenance Expenses</t>
  </si>
  <si>
    <t>Statement of Additional Capitalisation after COD</t>
  </si>
  <si>
    <t>Fixed Assets &amp; Depreciation</t>
  </si>
  <si>
    <t>Operational parameters</t>
  </si>
  <si>
    <t>Fuel Details for computation of Energy Charge Rate</t>
  </si>
  <si>
    <t>Sales</t>
  </si>
  <si>
    <t>Revenue Reconciliation</t>
  </si>
  <si>
    <t>Summary of true-up</t>
  </si>
  <si>
    <t>Unfunded past liabilities of pension &amp; gratuity</t>
  </si>
  <si>
    <t>AFC +Energy Charges</t>
  </si>
  <si>
    <r>
      <t>Receivables</t>
    </r>
    <r>
      <rPr>
        <sz val="10"/>
        <rFont val="Arial"/>
        <family val="2"/>
      </rPr>
      <t>1</t>
    </r>
  </si>
  <si>
    <r>
      <t>Payables for Fuels</t>
    </r>
    <r>
      <rPr>
        <sz val="10"/>
        <rFont val="Arial"/>
        <family val="2"/>
      </rPr>
      <t>2</t>
    </r>
  </si>
  <si>
    <t>1 In case actual availability is less or more than normative value, the modification in the formula need to be done accordingly.</t>
  </si>
  <si>
    <r>
      <t>Addition of Normative Loan due to capitalisation during the year</t>
    </r>
    <r>
      <rPr>
        <sz val="10"/>
        <rFont val="Arial"/>
        <family val="2"/>
      </rPr>
      <t>1</t>
    </r>
  </si>
  <si>
    <t>1 In case actual loan is more than 75%, the modification in the formula need to be done accordingly.</t>
  </si>
  <si>
    <t xml:space="preserve">      &lt;TGGENCO&gt;</t>
  </si>
  <si>
    <t>TGGENCO</t>
  </si>
  <si>
    <t>FY 2024-25</t>
  </si>
  <si>
    <t>FY 2025-26</t>
  </si>
  <si>
    <t>Form 2.2: Administrative &amp; General Expenses</t>
  </si>
  <si>
    <t>Form 1: Summary Sheet</t>
  </si>
  <si>
    <t>COMPUTERS</t>
  </si>
  <si>
    <t xml:space="preserve">CURRENT CONSUMPTION CHARGES                       </t>
  </si>
  <si>
    <t xml:space="preserve">INCOME FROM SALE OF ASH                           </t>
  </si>
  <si>
    <t xml:space="preserve">INCOME FROM SALE OF COAL REJECTS                  </t>
  </si>
  <si>
    <t xml:space="preserve">INCOME FROM SALE OF SCRAP                         </t>
  </si>
  <si>
    <t xml:space="preserve">INTEREST ON CYCLE/MOPED/MOTOR CYCLE/CAR ADVANCE   </t>
  </si>
  <si>
    <t xml:space="preserve">INTEREST ON MARRIAGE ADVANCE TO STAFF             </t>
  </si>
  <si>
    <t>INTEREST ON STAFF LOANS &amp; ADVANCES(HOUSE BUILDING)</t>
  </si>
  <si>
    <t xml:space="preserve">INTEREST/INCOME FROM OTHER DEPOSITS               </t>
  </si>
  <si>
    <t xml:space="preserve">INTEREST/INCOME ON DEPOSITS FROM BANKS            </t>
  </si>
  <si>
    <t xml:space="preserve">OTHER INCOME - CONSULTANCY PROJECTS               </t>
  </si>
  <si>
    <t xml:space="preserve">OTHER MISCELLANEOUS RECEIPTS/INCOME               </t>
  </si>
  <si>
    <t xml:space="preserve">OTHER RENTAL OR LETTING OUT                       </t>
  </si>
  <si>
    <t xml:space="preserve">PENALITIES RECOVERED FROM CONTRACTORS             </t>
  </si>
  <si>
    <t xml:space="preserve">RENTAL FROM RES. QUARTERS FROM UN REG PERSONS     </t>
  </si>
  <si>
    <t xml:space="preserve">RENTAL FROM STAFF FOR RESIDENTIAL QUARTERS        </t>
  </si>
  <si>
    <t xml:space="preserve">SALE OF TENDER SPECIFICATIONS                     </t>
  </si>
  <si>
    <t xml:space="preserve">VENDOR REGISTRATION FEE                           </t>
  </si>
  <si>
    <t xml:space="preserve">WATER CHARGES                                     </t>
  </si>
  <si>
    <t>Revised Proposal</t>
  </si>
  <si>
    <t>(enclosed as Annexure)</t>
  </si>
  <si>
    <t>True-Up requirement (normative)</t>
  </si>
  <si>
    <t>True-Up requirement (Normative)</t>
  </si>
  <si>
    <t>FY 2026-27</t>
  </si>
  <si>
    <t>FY 2025-6</t>
  </si>
  <si>
    <t>Pulichinthala HES</t>
  </si>
  <si>
    <t>LAND &amp;LAND RIGHTS</t>
  </si>
  <si>
    <t>BUILDINGS</t>
  </si>
  <si>
    <t>LINES AND CABLE NETWORK</t>
  </si>
  <si>
    <t>PLANT AND EQUIPMENT</t>
  </si>
  <si>
    <t>HYDRAULIC WORKS</t>
  </si>
  <si>
    <t>OTHER CIVIL WORKS</t>
  </si>
  <si>
    <t>VEHICLES</t>
  </si>
  <si>
    <t>FURNITURE &amp; FIXTURES</t>
  </si>
  <si>
    <t>OFFICE EQUIPMENTS</t>
  </si>
  <si>
    <t xml:space="preserve">PROFIT ON SALE OF FIXED ASSETS                    </t>
  </si>
  <si>
    <t>PCHES</t>
  </si>
  <si>
    <t>TSSPDCL (70.55%)</t>
  </si>
  <si>
    <t>TSNPDCL (29.45%)</t>
  </si>
  <si>
    <t xml:space="preserve">Telangana Power Generation Corporation Limited </t>
  </si>
  <si>
    <t>Lower Jurala (240 MW)</t>
  </si>
  <si>
    <t>Financial Year (FY 2024-25)</t>
  </si>
  <si>
    <t>Non-Tariff Income true-up</t>
  </si>
  <si>
    <t>Name of the package           (BTG, BoP, Civil Works etc.)</t>
  </si>
  <si>
    <t>Capital expenditure during the year     (Rs. Crore)</t>
  </si>
  <si>
    <t>Asset group under which the capitalisation has been accounted                          (Land, Buldings, etc.)</t>
  </si>
  <si>
    <t>2024-25</t>
  </si>
  <si>
    <t>2025-26</t>
  </si>
  <si>
    <t>2026-27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</si>
</sst>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8" formatCode="&quot;$&quot;#,##0.00_);[Red]\(&quot;$&quot;#,##0.00\)"/>
    <numFmt numFmtId="43" formatCode="_(* #,##0.00_);_(* \(#,##0.00\);_(* &quot;-&quot;??_);_(@_)"/>
    <numFmt numFmtId="164" formatCode="_ * #,##0.00_ ;_ * \-#,##0.00_ ;_ * &quot;-&quot;??_ ;_ @_ "/>
    <numFmt numFmtId="165" formatCode="_-* #,##0.00_-;\-* #,##0.00_-;_-* &quot;-&quot;??_-;_-@_-"/>
    <numFmt numFmtId="166" formatCode="0.00_)"/>
    <numFmt numFmtId="167" formatCode="&quot;ß&quot;#,##0.00_);\(&quot;ß&quot;#,##0.00\)"/>
    <numFmt numFmtId="168" formatCode="0.000"/>
    <numFmt numFmtId="169" formatCode="0.00000000000"/>
    <numFmt numFmtId="170" formatCode="dd\.mm\.yyyy"/>
    <numFmt numFmtId="171" formatCode="_ * #,##0.000_ ;_ * \-#,##0.000_ ;_ * &quot;-&quot;???_ ;_ @_ "/>
    <numFmt numFmtId="172" formatCode="_(* #,##0.000_);_(* \(#,##0.000\);_(* &quot;-&quot;??_);_(@_)"/>
    <numFmt numFmtId="173" formatCode="_ &quot;రూ&quot;\ * #,##0.00_ ;_ &quot;రూ&quot;\ * \-#,##0.00_ ;_ &quot;రూ&quot;\ * &quot;-&quot;??_ ;_ @_ "/>
    <numFmt numFmtId="174" formatCode="0.000%"/>
    <numFmt numFmtId="175" formatCode="0.000000"/>
  </numFmts>
  <fonts count="3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2"/>
      <name val="Arial"/>
      <family val="2"/>
    </font>
    <font>
      <sz val="10"/>
      <name val="Arial"/>
      <family val="2"/>
    </font>
    <font>
      <sz val="12"/>
      <name val="Tms Rmn"/>
    </font>
    <font>
      <sz val="10"/>
      <name val="Helv"/>
    </font>
    <font>
      <sz val="8"/>
      <name val="Arial"/>
      <family val="2"/>
    </font>
    <font>
      <b/>
      <sz val="12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vertAlign val="superscript"/>
      <sz val="11"/>
      <name val="Arial"/>
      <family val="2"/>
    </font>
    <font>
      <sz val="11"/>
      <color theme="1"/>
      <name val="Arial"/>
      <family val="2"/>
    </font>
    <font>
      <b/>
      <sz val="11"/>
      <color indexed="9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3"/>
      <name val="Calibri"/>
      <family val="2"/>
      <scheme val="minor"/>
    </font>
    <font>
      <b/>
      <sz val="13"/>
      <name val="Calibri"/>
      <family val="2"/>
      <scheme val="minor"/>
    </font>
    <font>
      <sz val="10"/>
      <color rgb="FF000000"/>
      <name val="Times New Roman"/>
      <family val="1"/>
    </font>
    <font>
      <b/>
      <sz val="13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82">
    <xf numFmtId="0" fontId="0" fillId="0" borderId="0"/>
    <xf numFmtId="0" fontId="12" fillId="0" borderId="0" applyNumberFormat="0" applyFill="0" applyBorder="0" applyAlignment="0" applyProtection="0"/>
    <xf numFmtId="0" fontId="13" fillId="0" borderId="1"/>
    <xf numFmtId="0" fontId="13" fillId="0" borderId="1"/>
    <xf numFmtId="38" fontId="14" fillId="2" borderId="0" applyNumberFormat="0" applyBorder="0" applyAlignment="0" applyProtection="0"/>
    <xf numFmtId="0" fontId="15" fillId="0" borderId="2" applyNumberFormat="0" applyAlignment="0" applyProtection="0">
      <alignment horizontal="left" vertical="center"/>
    </xf>
    <xf numFmtId="0" fontId="15" fillId="0" borderId="3">
      <alignment horizontal="left" vertical="center"/>
    </xf>
    <xf numFmtId="10" fontId="14" fillId="3" borderId="4" applyNumberFormat="0" applyBorder="0" applyAlignment="0" applyProtection="0"/>
    <xf numFmtId="37" fontId="16" fillId="0" borderId="0"/>
    <xf numFmtId="166" fontId="17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>
      <alignment vertical="center"/>
    </xf>
    <xf numFmtId="167" fontId="11" fillId="0" borderId="0" applyFont="0" applyFill="0" applyBorder="0" applyAlignment="0" applyProtection="0"/>
    <xf numFmtId="10" fontId="11" fillId="0" borderId="0" applyFont="0" applyFill="0" applyBorder="0" applyAlignment="0" applyProtection="0"/>
    <xf numFmtId="0" fontId="11" fillId="0" borderId="0"/>
    <xf numFmtId="0" fontId="19" fillId="0" borderId="0"/>
    <xf numFmtId="43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0" fontId="21" fillId="0" borderId="0"/>
    <xf numFmtId="9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20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9" fillId="0" borderId="0"/>
    <xf numFmtId="0" fontId="20" fillId="0" borderId="0"/>
    <xf numFmtId="0" fontId="20" fillId="0" borderId="0"/>
    <xf numFmtId="0" fontId="19" fillId="0" borderId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0" fillId="0" borderId="0" applyFont="0" applyFill="0" applyBorder="0" applyAlignment="0" applyProtection="0"/>
    <xf numFmtId="43" fontId="22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1" fillId="0" borderId="0"/>
    <xf numFmtId="0" fontId="11" fillId="0" borderId="0"/>
    <xf numFmtId="0" fontId="9" fillId="0" borderId="0"/>
    <xf numFmtId="0" fontId="11" fillId="0" borderId="0" applyBorder="0" applyProtection="0"/>
    <xf numFmtId="167" fontId="20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9" fontId="11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7" fillId="0" borderId="0"/>
    <xf numFmtId="0" fontId="7" fillId="0" borderId="0"/>
    <xf numFmtId="0" fontId="6" fillId="0" borderId="0"/>
    <xf numFmtId="0" fontId="5" fillId="0" borderId="0"/>
    <xf numFmtId="164" fontId="28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1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4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8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3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173" fontId="1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70" fontId="11" fillId="0" borderId="0" applyFont="0" applyFill="0" applyBorder="0" applyAlignment="0" applyProtection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70" fontId="11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30" fillId="0" borderId="0"/>
    <xf numFmtId="0" fontId="30" fillId="0" borderId="0"/>
    <xf numFmtId="0" fontId="4" fillId="0" borderId="0"/>
    <xf numFmtId="0" fontId="30" fillId="0" borderId="0"/>
    <xf numFmtId="0" fontId="4" fillId="0" borderId="0"/>
    <xf numFmtId="0" fontId="4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/>
    <xf numFmtId="0" fontId="4" fillId="0" borderId="0"/>
    <xf numFmtId="164" fontId="11" fillId="0" borderId="0" applyFont="0" applyFill="0" applyBorder="0" applyAlignment="0" applyProtection="0"/>
    <xf numFmtId="0" fontId="4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/>
    <xf numFmtId="164" fontId="11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7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8" fontId="1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/>
    <xf numFmtId="164" fontId="1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 applyFont="0" applyFill="0" applyBorder="0" applyAlignment="0" applyProtection="0"/>
    <xf numFmtId="0" fontId="30" fillId="0" borderId="0"/>
    <xf numFmtId="0" fontId="4" fillId="0" borderId="0" applyFont="0" applyFill="0" applyBorder="0" applyAlignment="0" applyProtection="0"/>
    <xf numFmtId="0" fontId="4" fillId="0" borderId="0"/>
    <xf numFmtId="0" fontId="30" fillId="0" borderId="0"/>
    <xf numFmtId="0" fontId="3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4" fillId="0" borderId="0"/>
    <xf numFmtId="0" fontId="11" fillId="0" borderId="0"/>
    <xf numFmtId="0" fontId="4" fillId="0" borderId="0"/>
    <xf numFmtId="0" fontId="4" fillId="0" borderId="0"/>
    <xf numFmtId="173" fontId="1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164" fontId="11" fillId="0" borderId="0" applyFont="0" applyFill="0" applyBorder="0" applyAlignment="0" applyProtection="0"/>
    <xf numFmtId="0" fontId="4" fillId="0" borderId="0"/>
    <xf numFmtId="8" fontId="11" fillId="0" borderId="0" applyFont="0" applyFill="0" applyBorder="0" applyAlignment="0" applyProtection="0"/>
    <xf numFmtId="0" fontId="4" fillId="0" borderId="0"/>
    <xf numFmtId="164" fontId="11" fillId="0" borderId="0" applyFont="0" applyFill="0" applyBorder="0" applyAlignment="0" applyProtection="0"/>
    <xf numFmtId="0" fontId="4" fillId="0" borderId="0"/>
    <xf numFmtId="0" fontId="4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1" fillId="0" borderId="0" applyFont="0" applyFill="0" applyBorder="0" applyAlignment="0" applyProtection="0"/>
    <xf numFmtId="0" fontId="4" fillId="0" borderId="0"/>
    <xf numFmtId="8" fontId="11" fillId="0" borderId="0" applyFont="0" applyFill="0" applyBorder="0" applyAlignment="0" applyProtection="0"/>
    <xf numFmtId="0" fontId="4" fillId="0" borderId="0"/>
    <xf numFmtId="164" fontId="11" fillId="0" borderId="0" applyFont="0" applyFill="0" applyBorder="0" applyAlignment="0" applyProtection="0"/>
    <xf numFmtId="0" fontId="4" fillId="0" borderId="0"/>
    <xf numFmtId="0" fontId="4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1" fillId="0" borderId="0" applyFont="0" applyFill="0" applyBorder="0" applyAlignment="0" applyProtection="0"/>
    <xf numFmtId="0" fontId="4" fillId="0" borderId="0"/>
    <xf numFmtId="8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4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1" fillId="0" borderId="0" applyFont="0" applyFill="0" applyBorder="0" applyAlignment="0" applyProtection="0"/>
    <xf numFmtId="0" fontId="4" fillId="0" borderId="0"/>
    <xf numFmtId="8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4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4" fillId="0" borderId="0"/>
    <xf numFmtId="0" fontId="11" fillId="0" borderId="0"/>
    <xf numFmtId="0" fontId="4" fillId="0" borderId="0"/>
    <xf numFmtId="0" fontId="4" fillId="0" borderId="0"/>
    <xf numFmtId="164" fontId="1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8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4" fillId="0" borderId="0"/>
    <xf numFmtId="164" fontId="11" fillId="0" borderId="0" applyFont="0" applyFill="0" applyBorder="0" applyAlignment="0" applyProtection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35" fillId="0" borderId="0"/>
    <xf numFmtId="0" fontId="2" fillId="0" borderId="0"/>
    <xf numFmtId="0" fontId="2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1" fillId="0" borderId="0"/>
    <xf numFmtId="0" fontId="11" fillId="0" borderId="0"/>
    <xf numFmtId="0" fontId="1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5" fillId="0" borderId="0"/>
    <xf numFmtId="164" fontId="1" fillId="0" borderId="0" applyFont="0" applyFill="0" applyBorder="0" applyAlignment="0" applyProtection="0"/>
    <xf numFmtId="0" fontId="1" fillId="0" borderId="0"/>
  </cellStyleXfs>
  <cellXfs count="253">
    <xf numFmtId="0" fontId="0" fillId="0" borderId="0" xfId="0"/>
    <xf numFmtId="0" fontId="10" fillId="0" borderId="0" xfId="10" applyFont="1" applyAlignment="1">
      <alignment horizontal="center" vertical="center"/>
    </xf>
    <xf numFmtId="0" fontId="18" fillId="0" borderId="4" xfId="14" applyFont="1" applyBorder="1" applyAlignment="1">
      <alignment horizontal="center" vertical="center"/>
    </xf>
    <xf numFmtId="0" fontId="18" fillId="0" borderId="4" xfId="14" applyFont="1" applyBorder="1">
      <alignment vertical="center"/>
    </xf>
    <xf numFmtId="0" fontId="18" fillId="0" borderId="0" xfId="10" applyFont="1"/>
    <xf numFmtId="0" fontId="18" fillId="0" borderId="0" xfId="10" applyFont="1" applyAlignment="1">
      <alignment vertical="center"/>
    </xf>
    <xf numFmtId="0" fontId="10" fillId="0" borderId="0" xfId="14" applyFont="1">
      <alignment vertical="center"/>
    </xf>
    <xf numFmtId="0" fontId="10" fillId="0" borderId="4" xfId="14" applyFont="1" applyBorder="1" applyAlignment="1">
      <alignment horizontal="center" vertical="center"/>
    </xf>
    <xf numFmtId="0" fontId="10" fillId="0" borderId="4" xfId="14" applyFont="1" applyBorder="1" applyAlignment="1">
      <alignment horizontal="left" vertical="center"/>
    </xf>
    <xf numFmtId="0" fontId="10" fillId="0" borderId="4" xfId="14" applyFont="1" applyBorder="1" applyAlignment="1">
      <alignment vertical="top" wrapText="1"/>
    </xf>
    <xf numFmtId="0" fontId="10" fillId="0" borderId="0" xfId="10" applyFont="1"/>
    <xf numFmtId="0" fontId="15" fillId="0" borderId="8" xfId="14" applyFont="1" applyBorder="1" applyAlignment="1">
      <alignment horizontal="center" vertical="center"/>
    </xf>
    <xf numFmtId="0" fontId="15" fillId="0" borderId="4" xfId="14" applyFont="1" applyBorder="1" applyAlignment="1">
      <alignment horizontal="center" vertical="center"/>
    </xf>
    <xf numFmtId="0" fontId="18" fillId="0" borderId="0" xfId="14" applyFont="1">
      <alignment vertical="center"/>
    </xf>
    <xf numFmtId="0" fontId="23" fillId="0" borderId="4" xfId="14" applyFont="1" applyBorder="1" applyAlignment="1">
      <alignment horizontal="center" vertical="center"/>
    </xf>
    <xf numFmtId="0" fontId="23" fillId="0" borderId="4" xfId="14" applyFont="1" applyBorder="1" applyAlignment="1">
      <alignment horizontal="center" vertical="center" wrapText="1"/>
    </xf>
    <xf numFmtId="0" fontId="18" fillId="0" borderId="4" xfId="14" applyFont="1" applyBorder="1" applyAlignment="1">
      <alignment horizontal="left" vertical="center"/>
    </xf>
    <xf numFmtId="0" fontId="18" fillId="5" borderId="4" xfId="14" applyFont="1" applyFill="1" applyBorder="1" applyAlignment="1">
      <alignment horizontal="left" vertical="center"/>
    </xf>
    <xf numFmtId="0" fontId="18" fillId="0" borderId="4" xfId="14" applyFont="1" applyBorder="1" applyAlignment="1">
      <alignment vertical="top" wrapText="1"/>
    </xf>
    <xf numFmtId="0" fontId="23" fillId="0" borderId="4" xfId="14" applyFont="1" applyBorder="1">
      <alignment vertical="center"/>
    </xf>
    <xf numFmtId="0" fontId="18" fillId="0" borderId="4" xfId="10" applyFont="1" applyBorder="1" applyAlignment="1">
      <alignment horizontal="center" vertical="center"/>
    </xf>
    <xf numFmtId="0" fontId="18" fillId="0" borderId="4" xfId="10" applyFont="1" applyBorder="1" applyAlignment="1">
      <alignment horizontal="center" vertical="center" wrapText="1"/>
    </xf>
    <xf numFmtId="0" fontId="23" fillId="0" borderId="7" xfId="10" applyFont="1" applyBorder="1" applyAlignment="1">
      <alignment horizontal="center" vertical="center" wrapText="1"/>
    </xf>
    <xf numFmtId="0" fontId="23" fillId="0" borderId="4" xfId="10" applyFont="1" applyBorder="1" applyAlignment="1">
      <alignment horizontal="center" vertical="center"/>
    </xf>
    <xf numFmtId="0" fontId="23" fillId="0" borderId="0" xfId="10" applyFont="1" applyAlignment="1">
      <alignment horizontal="left" vertical="center"/>
    </xf>
    <xf numFmtId="0" fontId="23" fillId="0" borderId="0" xfId="10" applyFont="1" applyAlignment="1">
      <alignment horizontal="right" vertical="center"/>
    </xf>
    <xf numFmtId="0" fontId="23" fillId="0" borderId="0" xfId="14" applyFont="1" applyAlignment="1">
      <alignment horizontal="right" vertical="center"/>
    </xf>
    <xf numFmtId="0" fontId="18" fillId="0" borderId="4" xfId="10" applyFont="1" applyBorder="1" applyAlignment="1">
      <alignment vertical="center"/>
    </xf>
    <xf numFmtId="0" fontId="18" fillId="0" borderId="4" xfId="0" applyFont="1" applyBorder="1" applyAlignment="1">
      <alignment vertical="center"/>
    </xf>
    <xf numFmtId="0" fontId="18" fillId="0" borderId="4" xfId="10" applyFont="1" applyBorder="1" applyAlignment="1">
      <alignment horizontal="left" vertical="center"/>
    </xf>
    <xf numFmtId="0" fontId="23" fillId="0" borderId="4" xfId="10" applyFont="1" applyBorder="1" applyAlignment="1">
      <alignment horizontal="left" vertical="center" wrapText="1"/>
    </xf>
    <xf numFmtId="0" fontId="23" fillId="0" borderId="4" xfId="10" applyFont="1" applyBorder="1" applyAlignment="1">
      <alignment horizontal="center" vertical="center" wrapText="1"/>
    </xf>
    <xf numFmtId="0" fontId="23" fillId="0" borderId="0" xfId="10" applyFont="1" applyAlignment="1">
      <alignment vertical="center"/>
    </xf>
    <xf numFmtId="0" fontId="23" fillId="0" borderId="0" xfId="14" applyFont="1" applyAlignment="1">
      <alignment horizontal="center" vertical="center"/>
    </xf>
    <xf numFmtId="0" fontId="18" fillId="0" borderId="0" xfId="10" applyFont="1" applyAlignment="1">
      <alignment horizontal="center" vertical="center"/>
    </xf>
    <xf numFmtId="0" fontId="23" fillId="0" borderId="0" xfId="10" applyFont="1" applyAlignment="1">
      <alignment horizontal="center" vertical="center"/>
    </xf>
    <xf numFmtId="0" fontId="23" fillId="0" borderId="0" xfId="14" applyFont="1">
      <alignment vertical="center"/>
    </xf>
    <xf numFmtId="0" fontId="18" fillId="0" borderId="4" xfId="10" applyFont="1" applyBorder="1" applyAlignment="1">
      <alignment horizontal="left" vertical="center" wrapText="1"/>
    </xf>
    <xf numFmtId="0" fontId="23" fillId="0" borderId="4" xfId="10" applyFont="1" applyBorder="1" applyAlignment="1">
      <alignment vertical="center"/>
    </xf>
    <xf numFmtId="0" fontId="18" fillId="0" borderId="4" xfId="10" applyFont="1" applyBorder="1" applyAlignment="1">
      <alignment horizontal="right" vertical="center"/>
    </xf>
    <xf numFmtId="0" fontId="23" fillId="0" borderId="0" xfId="10" applyFont="1" applyAlignment="1">
      <alignment horizontal="centerContinuous"/>
    </xf>
    <xf numFmtId="0" fontId="18" fillId="0" borderId="0" xfId="10" applyFont="1" applyAlignment="1">
      <alignment horizontal="centerContinuous"/>
    </xf>
    <xf numFmtId="0" fontId="18" fillId="0" borderId="4" xfId="10" applyFont="1" applyBorder="1"/>
    <xf numFmtId="0" fontId="23" fillId="0" borderId="4" xfId="10" applyFont="1" applyBorder="1"/>
    <xf numFmtId="0" fontId="23" fillId="0" borderId="0" xfId="10" applyFont="1" applyAlignment="1">
      <alignment horizontal="justify" vertical="top" wrapText="1"/>
    </xf>
    <xf numFmtId="0" fontId="18" fillId="0" borderId="0" xfId="10" applyFont="1" applyAlignment="1">
      <alignment horizontal="left"/>
    </xf>
    <xf numFmtId="0" fontId="18" fillId="0" borderId="4" xfId="10" applyFont="1" applyBorder="1" applyAlignment="1">
      <alignment wrapText="1"/>
    </xf>
    <xf numFmtId="0" fontId="18" fillId="0" borderId="0" xfId="10" applyFont="1" applyAlignment="1">
      <alignment horizontal="left" vertical="center"/>
    </xf>
    <xf numFmtId="0" fontId="18" fillId="0" borderId="0" xfId="10" applyFont="1" applyAlignment="1">
      <alignment horizontal="right" vertical="center"/>
    </xf>
    <xf numFmtId="0" fontId="24" fillId="0" borderId="0" xfId="10" applyFont="1" applyAlignment="1">
      <alignment horizontal="left" vertical="center"/>
    </xf>
    <xf numFmtId="0" fontId="24" fillId="0" borderId="0" xfId="10" applyFont="1" applyAlignment="1">
      <alignment vertical="center"/>
    </xf>
    <xf numFmtId="0" fontId="24" fillId="0" borderId="0" xfId="10" applyFont="1" applyAlignment="1">
      <alignment horizontal="center" vertical="center"/>
    </xf>
    <xf numFmtId="0" fontId="18" fillId="0" borderId="4" xfId="10" quotePrefix="1" applyFont="1" applyBorder="1" applyAlignment="1">
      <alignment horizontal="left" vertical="top" wrapText="1"/>
    </xf>
    <xf numFmtId="0" fontId="18" fillId="0" borderId="4" xfId="10" applyFont="1" applyBorder="1" applyAlignment="1">
      <alignment horizontal="left"/>
    </xf>
    <xf numFmtId="0" fontId="23" fillId="0" borderId="4" xfId="10" applyFont="1" applyBorder="1" applyAlignment="1">
      <alignment horizontal="left"/>
    </xf>
    <xf numFmtId="0" fontId="18" fillId="0" borderId="0" xfId="14" applyFont="1" applyAlignment="1">
      <alignment horizontal="center" vertical="center"/>
    </xf>
    <xf numFmtId="0" fontId="18" fillId="0" borderId="4" xfId="10" applyFont="1" applyBorder="1" applyAlignment="1">
      <alignment horizontal="left" vertical="top" wrapText="1"/>
    </xf>
    <xf numFmtId="0" fontId="23" fillId="0" borderId="0" xfId="10" applyFont="1" applyAlignment="1">
      <alignment horizontal="left"/>
    </xf>
    <xf numFmtId="0" fontId="23" fillId="0" borderId="0" xfId="10" applyFont="1" applyAlignment="1">
      <alignment horizontal="left" vertical="center" wrapText="1"/>
    </xf>
    <xf numFmtId="0" fontId="23" fillId="0" borderId="0" xfId="10" applyFont="1" applyAlignment="1">
      <alignment horizontal="center" vertical="center" wrapText="1"/>
    </xf>
    <xf numFmtId="0" fontId="18" fillId="0" borderId="7" xfId="10" applyFont="1" applyBorder="1" applyAlignment="1">
      <alignment horizontal="center" vertical="center"/>
    </xf>
    <xf numFmtId="0" fontId="24" fillId="0" borderId="0" xfId="10" applyFont="1" applyAlignment="1">
      <alignment horizontal="right" vertical="center"/>
    </xf>
    <xf numFmtId="0" fontId="18" fillId="0" borderId="0" xfId="10" applyFont="1" applyAlignment="1">
      <alignment horizontal="center"/>
    </xf>
    <xf numFmtId="0" fontId="23" fillId="4" borderId="13" xfId="67" applyFont="1" applyFill="1" applyBorder="1" applyAlignment="1">
      <alignment horizontal="center" vertical="center" wrapText="1"/>
    </xf>
    <xf numFmtId="0" fontId="23" fillId="4" borderId="14" xfId="67" applyFont="1" applyFill="1" applyBorder="1" applyAlignment="1">
      <alignment horizontal="center" vertical="center" wrapText="1"/>
    </xf>
    <xf numFmtId="0" fontId="15" fillId="0" borderId="0" xfId="14" applyFont="1" applyAlignment="1">
      <alignment horizontal="center" vertical="center"/>
    </xf>
    <xf numFmtId="0" fontId="18" fillId="0" borderId="4" xfId="10" applyFont="1" applyBorder="1" applyAlignment="1">
      <alignment vertical="center" wrapText="1"/>
    </xf>
    <xf numFmtId="0" fontId="18" fillId="0" borderId="9" xfId="14" applyFont="1" applyBorder="1">
      <alignment vertical="center"/>
    </xf>
    <xf numFmtId="0" fontId="23" fillId="0" borderId="4" xfId="10" applyFont="1" applyBorder="1" applyAlignment="1">
      <alignment vertical="center" wrapText="1"/>
    </xf>
    <xf numFmtId="0" fontId="23" fillId="4" borderId="4" xfId="14" applyFont="1" applyFill="1" applyBorder="1" applyAlignment="1">
      <alignment horizontal="center" vertical="center" wrapText="1"/>
    </xf>
    <xf numFmtId="0" fontId="23" fillId="0" borderId="0" xfId="10" applyFont="1" applyAlignment="1">
      <alignment horizontal="centerContinuous" vertical="center"/>
    </xf>
    <xf numFmtId="0" fontId="18" fillId="0" borderId="0" xfId="10" applyFont="1" applyAlignment="1">
      <alignment horizontal="centerContinuous" vertical="center"/>
    </xf>
    <xf numFmtId="0" fontId="23" fillId="4" borderId="4" xfId="10" quotePrefix="1" applyFont="1" applyFill="1" applyBorder="1" applyAlignment="1">
      <alignment horizontal="center" vertical="center" wrapText="1"/>
    </xf>
    <xf numFmtId="0" fontId="23" fillId="4" borderId="4" xfId="10" applyFont="1" applyFill="1" applyBorder="1" applyAlignment="1">
      <alignment horizontal="left" vertical="center" wrapText="1"/>
    </xf>
    <xf numFmtId="0" fontId="23" fillId="4" borderId="4" xfId="10" applyFont="1" applyFill="1" applyBorder="1" applyAlignment="1">
      <alignment horizontal="center" vertical="center"/>
    </xf>
    <xf numFmtId="0" fontId="18" fillId="4" borderId="4" xfId="14" applyFont="1" applyFill="1" applyBorder="1">
      <alignment vertical="center"/>
    </xf>
    <xf numFmtId="0" fontId="18" fillId="4" borderId="4" xfId="10" applyFont="1" applyFill="1" applyBorder="1" applyAlignment="1">
      <alignment horizontal="center" vertical="center"/>
    </xf>
    <xf numFmtId="0" fontId="18" fillId="4" borderId="4" xfId="10" applyFont="1" applyFill="1" applyBorder="1" applyAlignment="1">
      <alignment vertical="center" wrapText="1"/>
    </xf>
    <xf numFmtId="0" fontId="23" fillId="4" borderId="4" xfId="10" applyFont="1" applyFill="1" applyBorder="1" applyAlignment="1">
      <alignment vertical="center" wrapText="1"/>
    </xf>
    <xf numFmtId="0" fontId="18" fillId="4" borderId="4" xfId="10" applyFont="1" applyFill="1" applyBorder="1" applyAlignment="1">
      <alignment vertical="center"/>
    </xf>
    <xf numFmtId="0" fontId="23" fillId="4" borderId="0" xfId="10" applyFont="1" applyFill="1" applyAlignment="1">
      <alignment vertical="center"/>
    </xf>
    <xf numFmtId="0" fontId="18" fillId="4" borderId="0" xfId="10" applyFont="1" applyFill="1" applyAlignment="1">
      <alignment vertical="center"/>
    </xf>
    <xf numFmtId="166" fontId="18" fillId="0" borderId="0" xfId="10" applyNumberFormat="1" applyFont="1" applyAlignment="1">
      <alignment vertical="center"/>
    </xf>
    <xf numFmtId="0" fontId="25" fillId="0" borderId="0" xfId="10" applyFont="1" applyAlignment="1">
      <alignment horizontal="left" vertical="center"/>
    </xf>
    <xf numFmtId="0" fontId="18" fillId="0" borderId="0" xfId="0" applyFont="1" applyAlignment="1">
      <alignment vertical="center"/>
    </xf>
    <xf numFmtId="0" fontId="23" fillId="0" borderId="4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23" fillId="0" borderId="4" xfId="0" applyFont="1" applyBorder="1" applyAlignment="1">
      <alignment vertical="center"/>
    </xf>
    <xf numFmtId="0" fontId="27" fillId="0" borderId="0" xfId="10" applyFont="1" applyAlignment="1">
      <alignment vertical="center"/>
    </xf>
    <xf numFmtId="2" fontId="18" fillId="0" borderId="4" xfId="0" applyNumberFormat="1" applyFont="1" applyBorder="1" applyAlignment="1">
      <alignment vertical="center"/>
    </xf>
    <xf numFmtId="2" fontId="23" fillId="0" borderId="4" xfId="0" applyNumberFormat="1" applyFont="1" applyBorder="1" applyAlignment="1">
      <alignment vertical="center"/>
    </xf>
    <xf numFmtId="2" fontId="18" fillId="0" borderId="4" xfId="10" applyNumberFormat="1" applyFont="1" applyBorder="1" applyAlignment="1">
      <alignment horizontal="center" vertical="center"/>
    </xf>
    <xf numFmtId="2" fontId="23" fillId="6" borderId="4" xfId="0" applyNumberFormat="1" applyFont="1" applyFill="1" applyBorder="1" applyAlignment="1">
      <alignment vertical="center"/>
    </xf>
    <xf numFmtId="2" fontId="23" fillId="0" borderId="4" xfId="10" applyNumberFormat="1" applyFont="1" applyBorder="1" applyAlignment="1">
      <alignment horizontal="center" vertical="center" wrapText="1"/>
    </xf>
    <xf numFmtId="2" fontId="18" fillId="0" borderId="4" xfId="10" applyNumberFormat="1" applyFont="1" applyBorder="1" applyAlignment="1">
      <alignment horizontal="center" vertical="center" wrapText="1"/>
    </xf>
    <xf numFmtId="2" fontId="23" fillId="6" borderId="4" xfId="14" applyNumberFormat="1" applyFont="1" applyFill="1" applyBorder="1">
      <alignment vertical="center"/>
    </xf>
    <xf numFmtId="0" fontId="23" fillId="0" borderId="9" xfId="14" applyFont="1" applyBorder="1">
      <alignment vertical="center"/>
    </xf>
    <xf numFmtId="2" fontId="23" fillId="6" borderId="9" xfId="14" applyNumberFormat="1" applyFont="1" applyFill="1" applyBorder="1">
      <alignment vertical="center"/>
    </xf>
    <xf numFmtId="10" fontId="18" fillId="0" borderId="9" xfId="14" applyNumberFormat="1" applyFont="1" applyBorder="1">
      <alignment vertical="center"/>
    </xf>
    <xf numFmtId="2" fontId="18" fillId="0" borderId="9" xfId="14" applyNumberFormat="1" applyFont="1" applyBorder="1">
      <alignment vertical="center"/>
    </xf>
    <xf numFmtId="2" fontId="18" fillId="0" borderId="4" xfId="10" applyNumberFormat="1" applyFont="1" applyBorder="1" applyAlignment="1">
      <alignment vertical="center"/>
    </xf>
    <xf numFmtId="2" fontId="18" fillId="0" borderId="4" xfId="14" applyNumberFormat="1" applyFont="1" applyBorder="1" applyAlignment="1">
      <alignment horizontal="center" vertical="center"/>
    </xf>
    <xf numFmtId="2" fontId="23" fillId="6" borderId="4" xfId="14" applyNumberFormat="1" applyFont="1" applyFill="1" applyBorder="1" applyAlignment="1">
      <alignment horizontal="center" vertical="center"/>
    </xf>
    <xf numFmtId="10" fontId="23" fillId="6" borderId="4" xfId="14" applyNumberFormat="1" applyFont="1" applyFill="1" applyBorder="1">
      <alignment vertical="center"/>
    </xf>
    <xf numFmtId="2" fontId="23" fillId="6" borderId="4" xfId="10" applyNumberFormat="1" applyFont="1" applyFill="1" applyBorder="1"/>
    <xf numFmtId="2" fontId="18" fillId="0" borderId="4" xfId="10" applyNumberFormat="1" applyFont="1" applyBorder="1" applyAlignment="1">
      <alignment horizontal="right" vertical="center"/>
    </xf>
    <xf numFmtId="2" fontId="23" fillId="0" borderId="4" xfId="14" applyNumberFormat="1" applyFont="1" applyBorder="1" applyAlignment="1">
      <alignment horizontal="center" vertical="center"/>
    </xf>
    <xf numFmtId="0" fontId="18" fillId="0" borderId="4" xfId="14" applyFont="1" applyBorder="1" applyAlignment="1">
      <alignment horizontal="right" vertical="center"/>
    </xf>
    <xf numFmtId="2" fontId="18" fillId="0" borderId="4" xfId="14" applyNumberFormat="1" applyFont="1" applyBorder="1" applyAlignment="1">
      <alignment horizontal="right" vertical="center"/>
    </xf>
    <xf numFmtId="0" fontId="18" fillId="0" borderId="4" xfId="10" applyFont="1" applyBorder="1" applyAlignment="1">
      <alignment horizontal="right" vertical="center" wrapText="1"/>
    </xf>
    <xf numFmtId="2" fontId="18" fillId="0" borderId="4" xfId="10" applyNumberFormat="1" applyFont="1" applyBorder="1" applyAlignment="1">
      <alignment horizontal="right" vertical="center" wrapText="1"/>
    </xf>
    <xf numFmtId="0" fontId="18" fillId="0" borderId="9" xfId="14" applyFont="1" applyBorder="1" applyAlignment="1">
      <alignment horizontal="right" vertical="center"/>
    </xf>
    <xf numFmtId="2" fontId="23" fillId="6" borderId="9" xfId="14" applyNumberFormat="1" applyFont="1" applyFill="1" applyBorder="1" applyAlignment="1">
      <alignment horizontal="right" vertical="center"/>
    </xf>
    <xf numFmtId="2" fontId="18" fillId="6" borderId="9" xfId="14" applyNumberFormat="1" applyFont="1" applyFill="1" applyBorder="1">
      <alignment vertical="center"/>
    </xf>
    <xf numFmtId="0" fontId="23" fillId="0" borderId="3" xfId="14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/>
    </xf>
    <xf numFmtId="2" fontId="23" fillId="0" borderId="4" xfId="10" applyNumberFormat="1" applyFont="1" applyBorder="1" applyAlignment="1">
      <alignment vertical="top" wrapText="1"/>
    </xf>
    <xf numFmtId="2" fontId="23" fillId="0" borderId="4" xfId="14" applyNumberFormat="1" applyFont="1" applyBorder="1">
      <alignment vertical="center"/>
    </xf>
    <xf numFmtId="10" fontId="18" fillId="0" borderId="0" xfId="14" applyNumberFormat="1" applyFont="1">
      <alignment vertical="center"/>
    </xf>
    <xf numFmtId="2" fontId="18" fillId="0" borderId="9" xfId="14" applyNumberFormat="1" applyFont="1" applyBorder="1" applyAlignment="1">
      <alignment horizontal="right" vertical="center"/>
    </xf>
    <xf numFmtId="2" fontId="18" fillId="6" borderId="4" xfId="10" applyNumberFormat="1" applyFont="1" applyFill="1" applyBorder="1" applyAlignment="1">
      <alignment horizontal="right" vertical="center"/>
    </xf>
    <xf numFmtId="2" fontId="18" fillId="6" borderId="4" xfId="10" applyNumberFormat="1" applyFont="1" applyFill="1" applyBorder="1" applyAlignment="1">
      <alignment horizontal="right" vertical="center" wrapText="1"/>
    </xf>
    <xf numFmtId="2" fontId="23" fillId="6" borderId="4" xfId="10" applyNumberFormat="1" applyFont="1" applyFill="1" applyBorder="1" applyAlignment="1">
      <alignment horizontal="right" vertical="center"/>
    </xf>
    <xf numFmtId="2" fontId="18" fillId="0" borderId="0" xfId="14" applyNumberFormat="1" applyFont="1">
      <alignment vertical="center"/>
    </xf>
    <xf numFmtId="169" fontId="18" fillId="0" borderId="0" xfId="14" applyNumberFormat="1" applyFont="1">
      <alignment vertical="center"/>
    </xf>
    <xf numFmtId="1" fontId="18" fillId="0" borderId="0" xfId="14" applyNumberFormat="1" applyFont="1">
      <alignment vertical="center"/>
    </xf>
    <xf numFmtId="4" fontId="18" fillId="0" borderId="0" xfId="10" applyNumberFormat="1" applyFont="1" applyAlignment="1">
      <alignment vertical="center"/>
    </xf>
    <xf numFmtId="0" fontId="18" fillId="0" borderId="4" xfId="0" applyFont="1" applyBorder="1"/>
    <xf numFmtId="164" fontId="18" fillId="0" borderId="4" xfId="70" applyFont="1" applyBorder="1"/>
    <xf numFmtId="164" fontId="26" fillId="0" borderId="4" xfId="70" applyFont="1" applyBorder="1"/>
    <xf numFmtId="10" fontId="26" fillId="0" borderId="4" xfId="0" applyNumberFormat="1" applyFont="1" applyBorder="1"/>
    <xf numFmtId="164" fontId="18" fillId="0" borderId="4" xfId="70" applyFont="1" applyBorder="1" applyAlignment="1">
      <alignment horizontal="center" vertical="center"/>
    </xf>
    <xf numFmtId="164" fontId="18" fillId="0" borderId="4" xfId="70" applyFont="1" applyBorder="1" applyAlignment="1">
      <alignment vertical="center"/>
    </xf>
    <xf numFmtId="164" fontId="0" fillId="0" borderId="4" xfId="70" applyFont="1" applyBorder="1"/>
    <xf numFmtId="2" fontId="23" fillId="0" borderId="18" xfId="10" applyNumberFormat="1" applyFont="1" applyBorder="1" applyAlignment="1">
      <alignment vertical="center"/>
    </xf>
    <xf numFmtId="0" fontId="23" fillId="0" borderId="18" xfId="10" applyFont="1" applyBorder="1" applyAlignment="1">
      <alignment vertical="center" wrapText="1"/>
    </xf>
    <xf numFmtId="2" fontId="18" fillId="0" borderId="0" xfId="10" applyNumberFormat="1" applyFont="1" applyAlignment="1">
      <alignment horizontal="left" vertical="center"/>
    </xf>
    <xf numFmtId="2" fontId="23" fillId="6" borderId="13" xfId="19" applyNumberFormat="1" applyFont="1" applyFill="1" applyBorder="1" applyAlignment="1">
      <alignment horizontal="right" vertical="center"/>
    </xf>
    <xf numFmtId="10" fontId="23" fillId="6" borderId="13" xfId="67" applyNumberFormat="1" applyFont="1" applyFill="1" applyBorder="1" applyAlignment="1">
      <alignment horizontal="right" vertical="center"/>
    </xf>
    <xf numFmtId="164" fontId="18" fillId="0" borderId="0" xfId="10" applyNumberFormat="1" applyFont="1" applyAlignment="1">
      <alignment vertical="center"/>
    </xf>
    <xf numFmtId="0" fontId="18" fillId="4" borderId="12" xfId="67" applyFont="1" applyFill="1" applyBorder="1" applyAlignment="1">
      <alignment horizontal="right" vertical="center"/>
    </xf>
    <xf numFmtId="0" fontId="23" fillId="4" borderId="13" xfId="67" applyFont="1" applyFill="1" applyBorder="1" applyAlignment="1">
      <alignment horizontal="right" vertical="center"/>
    </xf>
    <xf numFmtId="0" fontId="10" fillId="0" borderId="4" xfId="14" applyFont="1" applyBorder="1" applyAlignment="1">
      <alignment vertical="center" wrapText="1"/>
    </xf>
    <xf numFmtId="2" fontId="18" fillId="0" borderId="0" xfId="10" applyNumberFormat="1" applyFont="1" applyAlignment="1">
      <alignment vertical="center"/>
    </xf>
    <xf numFmtId="2" fontId="23" fillId="6" borderId="4" xfId="14" applyNumberFormat="1" applyFont="1" applyFill="1" applyBorder="1" applyAlignment="1">
      <alignment horizontal="right" vertical="center"/>
    </xf>
    <xf numFmtId="2" fontId="23" fillId="5" borderId="4" xfId="14" applyNumberFormat="1" applyFont="1" applyFill="1" applyBorder="1" applyAlignment="1">
      <alignment horizontal="right" vertical="center"/>
    </xf>
    <xf numFmtId="2" fontId="23" fillId="0" borderId="4" xfId="14" applyNumberFormat="1" applyFont="1" applyBorder="1" applyAlignment="1">
      <alignment horizontal="right" vertical="center"/>
    </xf>
    <xf numFmtId="168" fontId="23" fillId="6" borderId="4" xfId="14" applyNumberFormat="1" applyFont="1" applyFill="1" applyBorder="1" applyAlignment="1">
      <alignment horizontal="right" vertical="center"/>
    </xf>
    <xf numFmtId="2" fontId="23" fillId="6" borderId="18" xfId="14" applyNumberFormat="1" applyFont="1" applyFill="1" applyBorder="1" applyAlignment="1">
      <alignment horizontal="right" vertical="center"/>
    </xf>
    <xf numFmtId="174" fontId="18" fillId="0" borderId="9" xfId="38" applyNumberFormat="1" applyFont="1" applyBorder="1" applyAlignment="1">
      <alignment vertical="center"/>
    </xf>
    <xf numFmtId="174" fontId="18" fillId="0" borderId="9" xfId="14" applyNumberFormat="1" applyFont="1" applyBorder="1">
      <alignment vertical="center"/>
    </xf>
    <xf numFmtId="174" fontId="23" fillId="6" borderId="9" xfId="14" applyNumberFormat="1" applyFont="1" applyFill="1" applyBorder="1">
      <alignment vertical="center"/>
    </xf>
    <xf numFmtId="0" fontId="18" fillId="4" borderId="18" xfId="67" applyFont="1" applyFill="1" applyBorder="1" applyAlignment="1">
      <alignment horizontal="center" vertical="center"/>
    </xf>
    <xf numFmtId="0" fontId="18" fillId="4" borderId="18" xfId="67" applyFont="1" applyFill="1" applyBorder="1" applyAlignment="1">
      <alignment horizontal="left" vertical="center"/>
    </xf>
    <xf numFmtId="0" fontId="0" fillId="0" borderId="18" xfId="70" applyNumberFormat="1" applyFont="1" applyBorder="1" applyAlignment="1">
      <alignment horizontal="right"/>
    </xf>
    <xf numFmtId="164" fontId="0" fillId="0" borderId="18" xfId="70" applyFont="1" applyBorder="1" applyAlignment="1">
      <alignment horizontal="left"/>
    </xf>
    <xf numFmtId="164" fontId="18" fillId="0" borderId="18" xfId="10" applyNumberFormat="1" applyFont="1" applyBorder="1" applyAlignment="1">
      <alignment horizontal="center" vertical="center" wrapText="1"/>
    </xf>
    <xf numFmtId="2" fontId="18" fillId="0" borderId="4" xfId="14" applyNumberFormat="1" applyFont="1" applyBorder="1" applyAlignment="1">
      <alignment horizontal="right" vertical="center" wrapText="1"/>
    </xf>
    <xf numFmtId="0" fontId="0" fillId="0" borderId="18" xfId="0" applyBorder="1"/>
    <xf numFmtId="0" fontId="18" fillId="0" borderId="18" xfId="10" applyFont="1" applyBorder="1" applyAlignment="1">
      <alignment horizontal="center" vertical="center"/>
    </xf>
    <xf numFmtId="164" fontId="32" fillId="7" borderId="18" xfId="94" applyFont="1" applyFill="1" applyBorder="1"/>
    <xf numFmtId="2" fontId="33" fillId="0" borderId="18" xfId="10" applyNumberFormat="1" applyFont="1" applyBorder="1" applyAlignment="1">
      <alignment horizontal="center" vertical="center"/>
    </xf>
    <xf numFmtId="175" fontId="33" fillId="0" borderId="18" xfId="10" applyNumberFormat="1" applyFont="1" applyBorder="1" applyAlignment="1">
      <alignment horizontal="center" vertical="center"/>
    </xf>
    <xf numFmtId="175" fontId="33" fillId="0" borderId="18" xfId="10" applyNumberFormat="1" applyFont="1" applyBorder="1" applyAlignment="1">
      <alignment vertical="center"/>
    </xf>
    <xf numFmtId="43" fontId="33" fillId="0" borderId="18" xfId="94" applyNumberFormat="1" applyFont="1" applyBorder="1" applyAlignment="1">
      <alignment horizontal="center" vertical="center"/>
    </xf>
    <xf numFmtId="2" fontId="33" fillId="0" borderId="18" xfId="10" applyNumberFormat="1" applyFont="1" applyBorder="1" applyAlignment="1">
      <alignment vertical="center"/>
    </xf>
    <xf numFmtId="2" fontId="34" fillId="0" borderId="18" xfId="10" applyNumberFormat="1" applyFont="1" applyBorder="1" applyAlignment="1">
      <alignment horizontal="right" vertical="center"/>
    </xf>
    <xf numFmtId="2" fontId="33" fillId="0" borderId="18" xfId="10" applyNumberFormat="1" applyFont="1" applyBorder="1" applyAlignment="1">
      <alignment horizontal="right" vertical="center"/>
    </xf>
    <xf numFmtId="2" fontId="34" fillId="0" borderId="18" xfId="10" applyNumberFormat="1" applyFont="1" applyBorder="1" applyAlignment="1">
      <alignment vertical="center"/>
    </xf>
    <xf numFmtId="164" fontId="10" fillId="0" borderId="18" xfId="70" applyFont="1" applyBorder="1" applyAlignment="1">
      <alignment horizontal="left"/>
    </xf>
    <xf numFmtId="0" fontId="18" fillId="4" borderId="12" xfId="67" applyFont="1" applyFill="1" applyBorder="1" applyAlignment="1">
      <alignment vertical="center"/>
    </xf>
    <xf numFmtId="0" fontId="23" fillId="4" borderId="13" xfId="67" applyFont="1" applyFill="1" applyBorder="1" applyAlignment="1">
      <alignment vertical="center"/>
    </xf>
    <xf numFmtId="10" fontId="23" fillId="6" borderId="13" xfId="67" applyNumberFormat="1" applyFont="1" applyFill="1" applyBorder="1" applyAlignment="1">
      <alignment vertical="center"/>
    </xf>
    <xf numFmtId="2" fontId="23" fillId="6" borderId="13" xfId="19" applyNumberFormat="1" applyFont="1" applyFill="1" applyBorder="1" applyAlignment="1">
      <alignment vertical="center"/>
    </xf>
    <xf numFmtId="0" fontId="23" fillId="0" borderId="18" xfId="10" applyFont="1" applyBorder="1" applyAlignment="1">
      <alignment horizontal="center" vertical="center" wrapText="1"/>
    </xf>
    <xf numFmtId="16" fontId="23" fillId="0" borderId="18" xfId="10" applyNumberFormat="1" applyFont="1" applyBorder="1" applyAlignment="1">
      <alignment horizontal="center" vertical="center" wrapText="1"/>
    </xf>
    <xf numFmtId="2" fontId="23" fillId="0" borderId="18" xfId="10" applyNumberFormat="1" applyFont="1" applyBorder="1" applyAlignment="1">
      <alignment horizontal="right" vertical="center"/>
    </xf>
    <xf numFmtId="0" fontId="23" fillId="0" borderId="18" xfId="10" applyFont="1" applyBorder="1" applyAlignment="1">
      <alignment vertical="center"/>
    </xf>
    <xf numFmtId="0" fontId="18" fillId="0" borderId="18" xfId="10" applyFont="1" applyBorder="1" applyAlignment="1">
      <alignment horizontal="left" vertical="center" wrapText="1"/>
    </xf>
    <xf numFmtId="0" fontId="18" fillId="0" borderId="18" xfId="10" applyFont="1" applyBorder="1" applyAlignment="1">
      <alignment vertical="center"/>
    </xf>
    <xf numFmtId="2" fontId="23" fillId="6" borderId="18" xfId="10" applyNumberFormat="1" applyFont="1" applyFill="1" applyBorder="1" applyAlignment="1">
      <alignment vertical="center"/>
    </xf>
    <xf numFmtId="0" fontId="18" fillId="0" borderId="18" xfId="10" applyFont="1" applyBorder="1" applyAlignment="1">
      <alignment horizontal="center" vertical="center" wrapText="1"/>
    </xf>
    <xf numFmtId="164" fontId="2" fillId="0" borderId="18" xfId="70" applyFont="1" applyBorder="1"/>
    <xf numFmtId="164" fontId="2" fillId="0" borderId="18" xfId="462" applyNumberFormat="1" applyBorder="1"/>
    <xf numFmtId="164" fontId="2" fillId="0" borderId="18" xfId="465" applyNumberFormat="1" applyBorder="1"/>
    <xf numFmtId="164" fontId="2" fillId="0" borderId="18" xfId="466" applyNumberFormat="1" applyBorder="1"/>
    <xf numFmtId="164" fontId="31" fillId="0" borderId="18" xfId="466" applyNumberFormat="1" applyFont="1" applyBorder="1"/>
    <xf numFmtId="164" fontId="18" fillId="0" borderId="18" xfId="14" applyNumberFormat="1" applyFont="1" applyBorder="1">
      <alignment vertical="center"/>
    </xf>
    <xf numFmtId="9" fontId="23" fillId="6" borderId="4" xfId="14" applyNumberFormat="1" applyFont="1" applyFill="1" applyBorder="1">
      <alignment vertical="center"/>
    </xf>
    <xf numFmtId="0" fontId="33" fillId="0" borderId="0" xfId="14" applyFont="1">
      <alignment vertical="center"/>
    </xf>
    <xf numFmtId="0" fontId="34" fillId="0" borderId="0" xfId="14" applyFont="1" applyAlignment="1">
      <alignment horizontal="center" vertical="center"/>
    </xf>
    <xf numFmtId="0" fontId="34" fillId="0" borderId="0" xfId="10" applyFont="1" applyAlignment="1">
      <alignment horizontal="center" vertical="center"/>
    </xf>
    <xf numFmtId="0" fontId="34" fillId="0" borderId="0" xfId="10" applyFont="1" applyAlignment="1">
      <alignment horizontal="left" vertical="center"/>
    </xf>
    <xf numFmtId="0" fontId="34" fillId="0" borderId="0" xfId="14" applyFont="1">
      <alignment vertical="center"/>
    </xf>
    <xf numFmtId="0" fontId="34" fillId="0" borderId="8" xfId="10" applyFont="1" applyBorder="1" applyAlignment="1">
      <alignment horizontal="center" vertical="center" wrapText="1"/>
    </xf>
    <xf numFmtId="0" fontId="34" fillId="0" borderId="18" xfId="10" applyFont="1" applyBorder="1" applyAlignment="1">
      <alignment horizontal="center" vertical="center" wrapText="1"/>
    </xf>
    <xf numFmtId="16" fontId="34" fillId="0" borderId="18" xfId="10" applyNumberFormat="1" applyFont="1" applyBorder="1" applyAlignment="1">
      <alignment horizontal="center" vertical="center" wrapText="1"/>
    </xf>
    <xf numFmtId="0" fontId="34" fillId="0" borderId="8" xfId="10" applyFont="1" applyBorder="1" applyAlignment="1">
      <alignment horizontal="center" vertical="center"/>
    </xf>
    <xf numFmtId="0" fontId="33" fillId="0" borderId="8" xfId="10" applyFont="1" applyBorder="1" applyAlignment="1">
      <alignment horizontal="center" vertical="center" wrapText="1"/>
    </xf>
    <xf numFmtId="0" fontId="33" fillId="0" borderId="8" xfId="10" applyFont="1" applyBorder="1" applyAlignment="1">
      <alignment vertical="center" wrapText="1"/>
    </xf>
    <xf numFmtId="0" fontId="33" fillId="0" borderId="18" xfId="10" applyFont="1" applyBorder="1" applyAlignment="1">
      <alignment vertical="center" wrapText="1"/>
    </xf>
    <xf numFmtId="0" fontId="33" fillId="0" borderId="18" xfId="10" applyFont="1" applyBorder="1" applyAlignment="1">
      <alignment horizontal="center" vertical="center" wrapText="1"/>
    </xf>
    <xf numFmtId="0" fontId="34" fillId="0" borderId="9" xfId="10" applyFont="1" applyBorder="1" applyAlignment="1">
      <alignment vertical="center" wrapText="1"/>
    </xf>
    <xf numFmtId="0" fontId="34" fillId="0" borderId="18" xfId="10" applyFont="1" applyBorder="1" applyAlignment="1">
      <alignment vertical="center" wrapText="1"/>
    </xf>
    <xf numFmtId="0" fontId="34" fillId="0" borderId="18" xfId="10" applyFont="1" applyBorder="1" applyAlignment="1">
      <alignment vertical="center"/>
    </xf>
    <xf numFmtId="0" fontId="23" fillId="0" borderId="0" xfId="10" applyFont="1" applyAlignment="1">
      <alignment horizontal="center" vertical="center"/>
    </xf>
    <xf numFmtId="0" fontId="23" fillId="0" borderId="0" xfId="10" applyFont="1" applyAlignment="1">
      <alignment horizontal="left" vertical="center"/>
    </xf>
    <xf numFmtId="0" fontId="15" fillId="0" borderId="0" xfId="14" applyFont="1" applyAlignment="1">
      <alignment horizontal="center" vertical="center"/>
    </xf>
    <xf numFmtId="0" fontId="10" fillId="0" borderId="0" xfId="10" applyFont="1" applyAlignment="1">
      <alignment horizontal="center" vertical="center"/>
    </xf>
    <xf numFmtId="0" fontId="15" fillId="0" borderId="0" xfId="10" applyFont="1" applyAlignment="1">
      <alignment horizontal="center" vertical="center" wrapText="1"/>
    </xf>
    <xf numFmtId="0" fontId="10" fillId="0" borderId="0" xfId="10" applyFont="1" applyAlignment="1">
      <alignment horizontal="center" vertical="center" wrapText="1"/>
    </xf>
    <xf numFmtId="0" fontId="23" fillId="0" borderId="8" xfId="14" applyFont="1" applyBorder="1" applyAlignment="1">
      <alignment horizontal="center" vertical="center"/>
    </xf>
    <xf numFmtId="0" fontId="23" fillId="0" borderId="10" xfId="14" applyFont="1" applyBorder="1" applyAlignment="1">
      <alignment horizontal="center" vertical="center"/>
    </xf>
    <xf numFmtId="0" fontId="23" fillId="0" borderId="7" xfId="14" applyFont="1" applyBorder="1" applyAlignment="1">
      <alignment horizontal="center" vertical="center"/>
    </xf>
    <xf numFmtId="0" fontId="23" fillId="0" borderId="8" xfId="14" applyFont="1" applyBorder="1" applyAlignment="1">
      <alignment horizontal="center" vertical="center" wrapText="1"/>
    </xf>
    <xf numFmtId="0" fontId="23" fillId="0" borderId="10" xfId="14" applyFont="1" applyBorder="1" applyAlignment="1">
      <alignment horizontal="center" vertical="center" wrapText="1"/>
    </xf>
    <xf numFmtId="0" fontId="18" fillId="0" borderId="7" xfId="10" applyFont="1" applyBorder="1" applyAlignment="1">
      <alignment horizontal="center" vertical="center" wrapText="1"/>
    </xf>
    <xf numFmtId="0" fontId="23" fillId="0" borderId="4" xfId="14" applyFont="1" applyBorder="1" applyAlignment="1">
      <alignment horizontal="center" vertical="center"/>
    </xf>
    <xf numFmtId="0" fontId="18" fillId="0" borderId="4" xfId="10" applyFont="1" applyBorder="1" applyAlignment="1">
      <alignment horizontal="center" vertical="center"/>
    </xf>
    <xf numFmtId="0" fontId="23" fillId="0" borderId="4" xfId="14" applyFont="1" applyBorder="1" applyAlignment="1">
      <alignment horizontal="center" vertical="center" wrapText="1"/>
    </xf>
    <xf numFmtId="0" fontId="18" fillId="0" borderId="4" xfId="10" applyFont="1" applyBorder="1" applyAlignment="1">
      <alignment horizontal="center" vertical="center" wrapText="1"/>
    </xf>
    <xf numFmtId="0" fontId="23" fillId="0" borderId="6" xfId="14" applyFont="1" applyBorder="1" applyAlignment="1">
      <alignment horizontal="center" vertical="center" wrapText="1"/>
    </xf>
    <xf numFmtId="0" fontId="23" fillId="0" borderId="3" xfId="14" applyFont="1" applyBorder="1" applyAlignment="1">
      <alignment horizontal="center" vertical="center" wrapText="1"/>
    </xf>
    <xf numFmtId="0" fontId="23" fillId="0" borderId="9" xfId="14" applyFont="1" applyBorder="1" applyAlignment="1">
      <alignment horizontal="center" vertical="center" wrapText="1"/>
    </xf>
    <xf numFmtId="0" fontId="23" fillId="0" borderId="0" xfId="10" applyFont="1" applyAlignment="1">
      <alignment horizontal="center" vertical="center"/>
    </xf>
    <xf numFmtId="0" fontId="23" fillId="0" borderId="0" xfId="10" applyFont="1" applyAlignment="1">
      <alignment horizontal="left" vertical="center"/>
    </xf>
    <xf numFmtId="0" fontId="23" fillId="0" borderId="4" xfId="10" applyFont="1" applyBorder="1" applyAlignment="1">
      <alignment horizontal="center" vertical="center" wrapText="1"/>
    </xf>
    <xf numFmtId="0" fontId="23" fillId="0" borderId="8" xfId="10" applyFont="1" applyBorder="1" applyAlignment="1">
      <alignment horizontal="center" vertical="center" wrapText="1"/>
    </xf>
    <xf numFmtId="0" fontId="23" fillId="0" borderId="10" xfId="10" applyFont="1" applyBorder="1" applyAlignment="1">
      <alignment horizontal="center" vertical="center" wrapText="1"/>
    </xf>
    <xf numFmtId="0" fontId="23" fillId="0" borderId="7" xfId="10" applyFont="1" applyBorder="1" applyAlignment="1">
      <alignment horizontal="center" vertical="center" wrapText="1"/>
    </xf>
    <xf numFmtId="0" fontId="18" fillId="0" borderId="4" xfId="10" applyFont="1" applyBorder="1" applyAlignment="1">
      <alignment vertical="center"/>
    </xf>
    <xf numFmtId="0" fontId="23" fillId="0" borderId="4" xfId="10" applyFont="1" applyBorder="1" applyAlignment="1">
      <alignment horizontal="center" vertical="center"/>
    </xf>
    <xf numFmtId="0" fontId="23" fillId="4" borderId="4" xfId="67" applyFont="1" applyFill="1" applyBorder="1" applyAlignment="1">
      <alignment horizontal="center" vertical="center" wrapText="1"/>
    </xf>
    <xf numFmtId="0" fontId="23" fillId="4" borderId="11" xfId="67" applyFont="1" applyFill="1" applyBorder="1" applyAlignment="1">
      <alignment horizontal="center" vertical="center" wrapText="1"/>
    </xf>
    <xf numFmtId="0" fontId="23" fillId="4" borderId="15" xfId="67" applyFont="1" applyFill="1" applyBorder="1" applyAlignment="1">
      <alignment horizontal="center" vertical="center"/>
    </xf>
    <xf numFmtId="0" fontId="23" fillId="4" borderId="16" xfId="67" applyFont="1" applyFill="1" applyBorder="1" applyAlignment="1">
      <alignment horizontal="center" vertical="center"/>
    </xf>
    <xf numFmtId="0" fontId="23" fillId="4" borderId="17" xfId="67" applyFont="1" applyFill="1" applyBorder="1" applyAlignment="1">
      <alignment horizontal="center" vertical="center"/>
    </xf>
    <xf numFmtId="0" fontId="23" fillId="4" borderId="5" xfId="67" applyFont="1" applyFill="1" applyBorder="1" applyAlignment="1">
      <alignment horizontal="center" vertical="center" wrapText="1"/>
    </xf>
    <xf numFmtId="0" fontId="23" fillId="4" borderId="12" xfId="67" applyFont="1" applyFill="1" applyBorder="1" applyAlignment="1">
      <alignment horizontal="center" vertical="center" wrapText="1"/>
    </xf>
    <xf numFmtId="0" fontId="23" fillId="4" borderId="4" xfId="67" quotePrefix="1" applyFont="1" applyFill="1" applyBorder="1" applyAlignment="1">
      <alignment horizontal="center" vertical="center" wrapText="1"/>
    </xf>
    <xf numFmtId="0" fontId="23" fillId="4" borderId="13" xfId="67" quotePrefix="1" applyFont="1" applyFill="1" applyBorder="1" applyAlignment="1">
      <alignment horizontal="center" vertical="center" wrapText="1"/>
    </xf>
    <xf numFmtId="0" fontId="23" fillId="4" borderId="13" xfId="67" applyFont="1" applyFill="1" applyBorder="1" applyAlignment="1">
      <alignment horizontal="center" vertical="center" wrapText="1"/>
    </xf>
    <xf numFmtId="0" fontId="23" fillId="0" borderId="3" xfId="10" applyFont="1" applyBorder="1" applyAlignment="1">
      <alignment horizontal="center" vertical="center"/>
    </xf>
    <xf numFmtId="0" fontId="23" fillId="0" borderId="9" xfId="10" applyFont="1" applyBorder="1" applyAlignment="1">
      <alignment horizontal="center" vertical="center"/>
    </xf>
    <xf numFmtId="0" fontId="11" fillId="0" borderId="4" xfId="10" applyBorder="1" applyAlignment="1">
      <alignment horizontal="center" vertical="center" wrapText="1"/>
    </xf>
    <xf numFmtId="0" fontId="11" fillId="0" borderId="4" xfId="10" applyBorder="1" applyAlignment="1">
      <alignment horizontal="center" vertical="center"/>
    </xf>
    <xf numFmtId="0" fontId="23" fillId="0" borderId="6" xfId="10" applyFont="1" applyBorder="1" applyAlignment="1">
      <alignment horizontal="center" vertical="center"/>
    </xf>
    <xf numFmtId="0" fontId="36" fillId="0" borderId="0" xfId="0" applyFont="1" applyAlignment="1">
      <alignment horizontal="center"/>
    </xf>
    <xf numFmtId="0" fontId="23" fillId="0" borderId="0" xfId="14" applyFont="1" applyAlignment="1">
      <alignment horizontal="center" vertical="center"/>
    </xf>
    <xf numFmtId="0" fontId="23" fillId="0" borderId="18" xfId="14" applyFont="1" applyBorder="1" applyAlignment="1">
      <alignment horizontal="center" vertical="center" wrapText="1"/>
    </xf>
    <xf numFmtId="0" fontId="23" fillId="0" borderId="18" xfId="10" applyFont="1" applyBorder="1" applyAlignment="1">
      <alignment horizontal="center" vertical="center"/>
    </xf>
    <xf numFmtId="0" fontId="23" fillId="0" borderId="18" xfId="10" applyFont="1" applyBorder="1" applyAlignment="1">
      <alignment horizontal="left" vertical="center" wrapText="1"/>
    </xf>
    <xf numFmtId="0" fontId="23" fillId="0" borderId="18" xfId="10" applyFont="1" applyBorder="1" applyAlignment="1">
      <alignment horizontal="left" vertical="center"/>
    </xf>
  </cellXfs>
  <cellStyles count="482">
    <cellStyle name="Body" xfId="1"/>
    <cellStyle name="Comma" xfId="70" builtinId="3"/>
    <cellStyle name="Comma  - Style1" xfId="2"/>
    <cellStyle name="Comma 10" xfId="94"/>
    <cellStyle name="Comma 10 2" xfId="95"/>
    <cellStyle name="Comma 10 3" xfId="251"/>
    <cellStyle name="Comma 10 4" xfId="264"/>
    <cellStyle name="Comma 10 5" xfId="480"/>
    <cellStyle name="Comma 11" xfId="96"/>
    <cellStyle name="Comma 11 2" xfId="19"/>
    <cellStyle name="Comma 11 2 10" xfId="435"/>
    <cellStyle name="Comma 11 2 2" xfId="97"/>
    <cellStyle name="Comma 11 2 2 2" xfId="98"/>
    <cellStyle name="Comma 11 2 2 3" xfId="92"/>
    <cellStyle name="Comma 11 2 2 4" xfId="347"/>
    <cellStyle name="Comma 11 2 2 5" xfId="366"/>
    <cellStyle name="Comma 11 2 2 6" xfId="384"/>
    <cellStyle name="Comma 11 2 2 7" xfId="400"/>
    <cellStyle name="Comma 11 2 2 8" xfId="416"/>
    <cellStyle name="Comma 11 2 3" xfId="208"/>
    <cellStyle name="Comma 11 2 4" xfId="348"/>
    <cellStyle name="Comma 11 2 5" xfId="357"/>
    <cellStyle name="Comma 11 2 6" xfId="375"/>
    <cellStyle name="Comma 11 2 7" xfId="393"/>
    <cellStyle name="Comma 11 2 8" xfId="409"/>
    <cellStyle name="Comma 11 2 9" xfId="71"/>
    <cellStyle name="Comma 11 2_F2.1" xfId="459"/>
    <cellStyle name="Comma 12" xfId="99"/>
    <cellStyle name="Comma 13" xfId="100"/>
    <cellStyle name="Comma 14" xfId="101"/>
    <cellStyle name="Comma 15" xfId="102"/>
    <cellStyle name="Comma 15 2" xfId="103"/>
    <cellStyle name="Comma 15 2 2" xfId="104"/>
    <cellStyle name="Comma 15 2 2 2" xfId="105"/>
    <cellStyle name="Comma 15 2 2 3" xfId="248"/>
    <cellStyle name="Comma 15 2 2 4" xfId="261"/>
    <cellStyle name="Comma 15 2 3" xfId="106"/>
    <cellStyle name="Comma 15 2 4" xfId="107"/>
    <cellStyle name="Comma 15 2 5" xfId="108"/>
    <cellStyle name="Comma 15 2 6" xfId="109"/>
    <cellStyle name="Comma 15 2 7" xfId="110"/>
    <cellStyle name="Comma 15 2 8" xfId="111"/>
    <cellStyle name="Comma 15 3" xfId="112"/>
    <cellStyle name="Comma 15 4" xfId="113"/>
    <cellStyle name="Comma 15 5" xfId="114"/>
    <cellStyle name="Comma 15 6" xfId="115"/>
    <cellStyle name="Comma 15 7" xfId="116"/>
    <cellStyle name="Comma 15 8" xfId="117"/>
    <cellStyle name="Comma 16" xfId="118"/>
    <cellStyle name="Comma 16 2" xfId="119"/>
    <cellStyle name="Comma 16 3" xfId="120"/>
    <cellStyle name="Comma 16 4" xfId="121"/>
    <cellStyle name="Comma 16 5" xfId="122"/>
    <cellStyle name="Comma 16 6" xfId="123"/>
    <cellStyle name="Comma 16 7" xfId="124"/>
    <cellStyle name="Comma 16 8" xfId="125"/>
    <cellStyle name="Comma 17" xfId="126"/>
    <cellStyle name="Comma 18" xfId="127"/>
    <cellStyle name="Comma 18 2" xfId="128"/>
    <cellStyle name="Comma 18 2 2" xfId="129"/>
    <cellStyle name="Comma 19" xfId="130"/>
    <cellStyle name="Comma 2" xfId="24"/>
    <cellStyle name="Comma 2 10" xfId="247"/>
    <cellStyle name="Comma 2 11" xfId="260"/>
    <cellStyle name="Comma 2 12" xfId="285"/>
    <cellStyle name="Comma 2 13" xfId="327"/>
    <cellStyle name="Comma 2 14" xfId="280"/>
    <cellStyle name="Comma 2 15" xfId="367"/>
    <cellStyle name="Comma 2 16" xfId="385"/>
    <cellStyle name="Comma 2 17" xfId="401"/>
    <cellStyle name="Comma 2 18" xfId="72"/>
    <cellStyle name="Comma 2 19" xfId="478"/>
    <cellStyle name="Comma 2 2" xfId="25"/>
    <cellStyle name="Comma 2 2 10" xfId="325"/>
    <cellStyle name="Comma 2 2 11" xfId="282"/>
    <cellStyle name="Comma 2 2 12" xfId="331"/>
    <cellStyle name="Comma 2 2 13" xfId="276"/>
    <cellStyle name="Comma 2 2 14" xfId="336"/>
    <cellStyle name="Comma 2 2 15" xfId="73"/>
    <cellStyle name="Comma 2 2 2" xfId="62"/>
    <cellStyle name="Comma 2 2 2 2" xfId="133"/>
    <cellStyle name="Comma 2 2 2 3" xfId="287"/>
    <cellStyle name="Comma 2 2 2 4" xfId="324"/>
    <cellStyle name="Comma 2 2 2 5" xfId="283"/>
    <cellStyle name="Comma 2 2 2 6" xfId="330"/>
    <cellStyle name="Comma 2 2 2 7" xfId="277"/>
    <cellStyle name="Comma 2 2 2 8" xfId="334"/>
    <cellStyle name="Comma 2 2 3" xfId="132"/>
    <cellStyle name="Comma 2 2 4" xfId="135"/>
    <cellStyle name="Comma 2 2 5" xfId="136"/>
    <cellStyle name="Comma 2 2 6" xfId="137"/>
    <cellStyle name="Comma 2 2 7" xfId="138"/>
    <cellStyle name="Comma 2 2 8" xfId="139"/>
    <cellStyle name="Comma 2 2 9" xfId="286"/>
    <cellStyle name="Comma 2 3" xfId="26"/>
    <cellStyle name="Comma 2 3 2" xfId="140"/>
    <cellStyle name="Comma 2 3 3" xfId="295"/>
    <cellStyle name="Comma 2 3 4" xfId="312"/>
    <cellStyle name="Comma 2 3 5" xfId="298"/>
    <cellStyle name="Comma 2 3 6" xfId="311"/>
    <cellStyle name="Comma 2 3 7" xfId="299"/>
    <cellStyle name="Comma 2 3 8" xfId="310"/>
    <cellStyle name="Comma 2 3 9" xfId="74"/>
    <cellStyle name="Comma 2 4" xfId="55"/>
    <cellStyle name="Comma 2 4 2" xfId="141"/>
    <cellStyle name="Comma 2 4 3" xfId="296"/>
    <cellStyle name="Comma 2 4 4" xfId="365"/>
    <cellStyle name="Comma 2 4 5" xfId="383"/>
    <cellStyle name="Comma 2 4 6" xfId="399"/>
    <cellStyle name="Comma 2 4 7" xfId="415"/>
    <cellStyle name="Comma 2 4 8" xfId="428"/>
    <cellStyle name="Comma 2 5" xfId="131"/>
    <cellStyle name="Comma 2 6" xfId="143"/>
    <cellStyle name="Comma 2 7" xfId="144"/>
    <cellStyle name="Comma 2 8" xfId="145"/>
    <cellStyle name="Comma 2 9" xfId="146"/>
    <cellStyle name="Comma 2_F2.1" xfId="460"/>
    <cellStyle name="Comma 20" xfId="147"/>
    <cellStyle name="Comma 21" xfId="148"/>
    <cellStyle name="Comma 22" xfId="149"/>
    <cellStyle name="Comma 23" xfId="150"/>
    <cellStyle name="Comma 24" xfId="151"/>
    <cellStyle name="Comma 25" xfId="152"/>
    <cellStyle name="Comma 26" xfId="153"/>
    <cellStyle name="Comma 27" xfId="154"/>
    <cellStyle name="Comma 28" xfId="155"/>
    <cellStyle name="Comma 29" xfId="156"/>
    <cellStyle name="Comma 3" xfId="27"/>
    <cellStyle name="Comma 3 10" xfId="75"/>
    <cellStyle name="Comma 3 11" xfId="477"/>
    <cellStyle name="Comma 3 2" xfId="61"/>
    <cellStyle name="Comma 3 2 2" xfId="76"/>
    <cellStyle name="Comma 3 2 3" xfId="436"/>
    <cellStyle name="Comma 3 3" xfId="157"/>
    <cellStyle name="Comma 3 4" xfId="301"/>
    <cellStyle name="Comma 3 5" xfId="361"/>
    <cellStyle name="Comma 3 6" xfId="379"/>
    <cellStyle name="Comma 3 7" xfId="396"/>
    <cellStyle name="Comma 3 8" xfId="412"/>
    <cellStyle name="Comma 3 9" xfId="426"/>
    <cellStyle name="Comma 3_F2.1" xfId="461"/>
    <cellStyle name="Comma 30" xfId="158"/>
    <cellStyle name="Comma 31" xfId="159"/>
    <cellStyle name="Comma 32" xfId="160"/>
    <cellStyle name="Comma 33" xfId="161"/>
    <cellStyle name="Comma 34" xfId="162"/>
    <cellStyle name="Comma 35" xfId="163"/>
    <cellStyle name="Comma 36" xfId="164"/>
    <cellStyle name="Comma 37" xfId="165"/>
    <cellStyle name="Comma 38" xfId="249"/>
    <cellStyle name="Comma 39" xfId="254"/>
    <cellStyle name="Comma 4" xfId="28"/>
    <cellStyle name="Comma 4 10" xfId="77"/>
    <cellStyle name="Comma 4 2" xfId="63"/>
    <cellStyle name="Comma 4 2 10" xfId="437"/>
    <cellStyle name="Comma 4 2 2" xfId="167"/>
    <cellStyle name="Comma 4 2 3" xfId="305"/>
    <cellStyle name="Comma 4 2 4" xfId="359"/>
    <cellStyle name="Comma 4 2 5" xfId="377"/>
    <cellStyle name="Comma 4 2 6" xfId="395"/>
    <cellStyle name="Comma 4 2 7" xfId="411"/>
    <cellStyle name="Comma 4 2 8" xfId="425"/>
    <cellStyle name="Comma 4 2 9" xfId="78"/>
    <cellStyle name="Comma 4 3" xfId="168"/>
    <cellStyle name="Comma 4 4" xfId="169"/>
    <cellStyle name="Comma 4 5" xfId="170"/>
    <cellStyle name="Comma 4 6" xfId="171"/>
    <cellStyle name="Comma 4 7" xfId="172"/>
    <cellStyle name="Comma 4 8" xfId="173"/>
    <cellStyle name="Comma 4 9" xfId="174"/>
    <cellStyle name="Comma 40" xfId="256"/>
    <cellStyle name="Comma 41" xfId="258"/>
    <cellStyle name="Comma 42" xfId="262"/>
    <cellStyle name="Comma 43" xfId="266"/>
    <cellStyle name="Comma 44" xfId="451"/>
    <cellStyle name="Comma 45" xfId="453"/>
    <cellStyle name="Comma 46" xfId="455"/>
    <cellStyle name="Comma 47" xfId="457"/>
    <cellStyle name="Comma 48" xfId="458"/>
    <cellStyle name="Comma 49" xfId="421"/>
    <cellStyle name="Comma 5" xfId="29"/>
    <cellStyle name="Comma 5 10" xfId="176"/>
    <cellStyle name="Comma 5 11" xfId="308"/>
    <cellStyle name="Comma 5 12" xfId="302"/>
    <cellStyle name="Comma 5 13" xfId="307"/>
    <cellStyle name="Comma 5 14" xfId="303"/>
    <cellStyle name="Comma 5 15" xfId="306"/>
    <cellStyle name="Comma 5 16" xfId="304"/>
    <cellStyle name="Comma 5 17" xfId="79"/>
    <cellStyle name="Comma 5 18" xfId="438"/>
    <cellStyle name="Comma 5 2" xfId="175"/>
    <cellStyle name="Comma 5 2 2" xfId="177"/>
    <cellStyle name="Comma 5 2 3" xfId="309"/>
    <cellStyle name="Comma 5 2 4" xfId="300"/>
    <cellStyle name="Comma 5 2 5" xfId="364"/>
    <cellStyle name="Comma 5 2 6" xfId="382"/>
    <cellStyle name="Comma 5 2 7" xfId="398"/>
    <cellStyle name="Comma 5 2 8" xfId="414"/>
    <cellStyle name="Comma 5 3" xfId="178"/>
    <cellStyle name="Comma 5 3 2" xfId="179"/>
    <cellStyle name="Comma 5 3 3" xfId="180"/>
    <cellStyle name="Comma 5 3 4" xfId="181"/>
    <cellStyle name="Comma 5 3 5" xfId="182"/>
    <cellStyle name="Comma 5 3 6" xfId="183"/>
    <cellStyle name="Comma 5 3 7" xfId="184"/>
    <cellStyle name="Comma 5 3 8" xfId="185"/>
    <cellStyle name="Comma 5 4" xfId="186"/>
    <cellStyle name="Comma 5 4 2" xfId="187"/>
    <cellStyle name="Comma 5 4 2 2" xfId="188"/>
    <cellStyle name="Comma 5 4 2 3" xfId="250"/>
    <cellStyle name="Comma 5 4 2 4" xfId="263"/>
    <cellStyle name="Comma 5 5" xfId="189"/>
    <cellStyle name="Comma 5 6" xfId="190"/>
    <cellStyle name="Comma 5 7" xfId="191"/>
    <cellStyle name="Comma 5 8" xfId="192"/>
    <cellStyle name="Comma 5 9" xfId="193"/>
    <cellStyle name="Comma 50" xfId="472"/>
    <cellStyle name="Comma 6" xfId="47"/>
    <cellStyle name="Comma 6 2" xfId="48"/>
    <cellStyle name="Comma 6 3" xfId="49"/>
    <cellStyle name="Comma 6 4" xfId="50"/>
    <cellStyle name="Comma 6 5" xfId="80"/>
    <cellStyle name="Comma 7" xfId="21"/>
    <cellStyle name="Comma 7 2" xfId="195"/>
    <cellStyle name="Comma 7 3" xfId="317"/>
    <cellStyle name="Comma 7 4" xfId="291"/>
    <cellStyle name="Comma 7 5" xfId="315"/>
    <cellStyle name="Comma 7 6" xfId="293"/>
    <cellStyle name="Comma 7 7" xfId="313"/>
    <cellStyle name="Comma 7 8" xfId="297"/>
    <cellStyle name="Comma 8" xfId="64"/>
    <cellStyle name="Comma 8 10" xfId="439"/>
    <cellStyle name="Comma 8 2" xfId="196"/>
    <cellStyle name="Comma 8 3" xfId="318"/>
    <cellStyle name="Comma 8 4" xfId="290"/>
    <cellStyle name="Comma 8 5" xfId="316"/>
    <cellStyle name="Comma 8 6" xfId="292"/>
    <cellStyle name="Comma 8 7" xfId="314"/>
    <cellStyle name="Comma 8 8" xfId="294"/>
    <cellStyle name="Comma 8 9" xfId="81"/>
    <cellStyle name="Comma 9" xfId="93"/>
    <cellStyle name="Comma 9 2" xfId="197"/>
    <cellStyle name="Comma 9 3" xfId="319"/>
    <cellStyle name="Comma 9 4" xfId="289"/>
    <cellStyle name="Comma 9 5" xfId="320"/>
    <cellStyle name="Comma 9 6" xfId="288"/>
    <cellStyle name="Comma 9 7" xfId="242"/>
    <cellStyle name="Comma 9 8" xfId="353"/>
    <cellStyle name="Curren - Style2" xfId="3"/>
    <cellStyle name="Grey" xfId="4"/>
    <cellStyle name="Header1" xfId="5"/>
    <cellStyle name="Header2" xfId="6"/>
    <cellStyle name="Hyperlink 2" xfId="198"/>
    <cellStyle name="Input [yellow]" xfId="7"/>
    <cellStyle name="no dec" xfId="8"/>
    <cellStyle name="Normal" xfId="0" builtinId="0"/>
    <cellStyle name="Normal - Style1" xfId="9"/>
    <cellStyle name="Normal 10" xfId="66"/>
    <cellStyle name="Normal 10 10" xfId="440"/>
    <cellStyle name="Normal 10 2" xfId="199"/>
    <cellStyle name="Normal 10 3" xfId="321"/>
    <cellStyle name="Normal 10 4" xfId="363"/>
    <cellStyle name="Normal 10 5" xfId="381"/>
    <cellStyle name="Normal 10 6" xfId="397"/>
    <cellStyle name="Normal 10 7" xfId="413"/>
    <cellStyle name="Normal 10 8" xfId="427"/>
    <cellStyle name="Normal 10 9" xfId="82"/>
    <cellStyle name="Normal 11" xfId="68"/>
    <cellStyle name="Normal 11 10" xfId="441"/>
    <cellStyle name="Normal 11 2" xfId="200"/>
    <cellStyle name="Normal 11 3" xfId="322"/>
    <cellStyle name="Normal 11 4" xfId="356"/>
    <cellStyle name="Normal 11 5" xfId="374"/>
    <cellStyle name="Normal 11 6" xfId="392"/>
    <cellStyle name="Normal 11 7" xfId="408"/>
    <cellStyle name="Normal 11 8" xfId="424"/>
    <cellStyle name="Normal 11 9" xfId="83"/>
    <cellStyle name="Normal 12" xfId="69"/>
    <cellStyle name="Normal 12 10" xfId="442"/>
    <cellStyle name="Normal 12 2" xfId="201"/>
    <cellStyle name="Normal 12 3" xfId="323"/>
    <cellStyle name="Normal 12 4" xfId="284"/>
    <cellStyle name="Normal 12 5" xfId="328"/>
    <cellStyle name="Normal 12 6" xfId="279"/>
    <cellStyle name="Normal 12 7" xfId="332"/>
    <cellStyle name="Normal 12 8" xfId="275"/>
    <cellStyle name="Normal 12 9" xfId="84"/>
    <cellStyle name="Normal 13" xfId="202"/>
    <cellStyle name="Normal 14" xfId="203"/>
    <cellStyle name="Normal 14 2" xfId="67"/>
    <cellStyle name="Normal 14 2 2" xfId="85"/>
    <cellStyle name="Normal 14 2 3" xfId="443"/>
    <cellStyle name="Normal 14 2 4" xfId="481"/>
    <cellStyle name="Normal 14 2_F2.1" xfId="463"/>
    <cellStyle name="Normal 15" xfId="18"/>
    <cellStyle name="Normal 15 10" xfId="444"/>
    <cellStyle name="Normal 15 2" xfId="204"/>
    <cellStyle name="Normal 15 3" xfId="326"/>
    <cellStyle name="Normal 15 4" xfId="281"/>
    <cellStyle name="Normal 15 5" xfId="358"/>
    <cellStyle name="Normal 15 6" xfId="376"/>
    <cellStyle name="Normal 15 7" xfId="394"/>
    <cellStyle name="Normal 15 8" xfId="410"/>
    <cellStyle name="Normal 15 9" xfId="86"/>
    <cellStyle name="Normal 16" xfId="205"/>
    <cellStyle name="Normal 16 2" xfId="473"/>
    <cellStyle name="Normal 16_F2.1" xfId="467"/>
    <cellStyle name="Normal 17" xfId="206"/>
    <cellStyle name="Normal 18" xfId="60"/>
    <cellStyle name="Normal 18 10" xfId="445"/>
    <cellStyle name="Normal 18 2" xfId="207"/>
    <cellStyle name="Normal 18 2 2" xfId="209"/>
    <cellStyle name="Normal 18 2 3" xfId="252"/>
    <cellStyle name="Normal 18 2 4" xfId="265"/>
    <cellStyle name="Normal 18 3" xfId="329"/>
    <cellStyle name="Normal 18 4" xfId="278"/>
    <cellStyle name="Normal 18 5" xfId="333"/>
    <cellStyle name="Normal 18 6" xfId="274"/>
    <cellStyle name="Normal 18 7" xfId="337"/>
    <cellStyle name="Normal 18 8" xfId="272"/>
    <cellStyle name="Normal 18 9" xfId="87"/>
    <cellStyle name="Normal 19" xfId="210"/>
    <cellStyle name="Normal 2" xfId="10"/>
    <cellStyle name="Normal 2 2" xfId="11"/>
    <cellStyle name="Normal 2 2 2" xfId="30"/>
    <cellStyle name="Normal 2 2 2 2" xfId="56"/>
    <cellStyle name="Normal 2 2 3" xfId="479"/>
    <cellStyle name="Normal 2 2_F2.1" xfId="464"/>
    <cellStyle name="Normal 2 3" xfId="12"/>
    <cellStyle name="Normal 2 3 2" xfId="213"/>
    <cellStyle name="Normal 2 3 3" xfId="335"/>
    <cellStyle name="Normal 2 3 4" xfId="273"/>
    <cellStyle name="Normal 2 3 5" xfId="338"/>
    <cellStyle name="Normal 2 3 6" xfId="271"/>
    <cellStyle name="Normal 2 3 7" xfId="339"/>
    <cellStyle name="Normal 2 3 8" xfId="270"/>
    <cellStyle name="Normal 2 4" xfId="51"/>
    <cellStyle name="Normal 2_ARR FINAL" xfId="31"/>
    <cellStyle name="Normal 20" xfId="214"/>
    <cellStyle name="Normal 21" xfId="215"/>
    <cellStyle name="Normal 22" xfId="216"/>
    <cellStyle name="Normal 23" xfId="217"/>
    <cellStyle name="Normal 24" xfId="218"/>
    <cellStyle name="Normal 24 2" xfId="474"/>
    <cellStyle name="Normal 24_F2.1" xfId="468"/>
    <cellStyle name="Normal 25" xfId="219"/>
    <cellStyle name="Normal 25 2" xfId="476"/>
    <cellStyle name="Normal 25_F2.1" xfId="469"/>
    <cellStyle name="Normal 26" xfId="220"/>
    <cellStyle name="Normal 26 2" xfId="475"/>
    <cellStyle name="Normal 26_F2.1" xfId="470"/>
    <cellStyle name="Normal 27" xfId="221"/>
    <cellStyle name="Normal 28" xfId="222"/>
    <cellStyle name="Normal 29" xfId="223"/>
    <cellStyle name="Normal 3" xfId="13"/>
    <cellStyle name="Normal 3 10" xfId="269"/>
    <cellStyle name="Normal 3 11" xfId="342"/>
    <cellStyle name="Normal 3 12" xfId="134"/>
    <cellStyle name="Normal 3 13" xfId="360"/>
    <cellStyle name="Normal 3 14" xfId="378"/>
    <cellStyle name="Normal 3 2" xfId="32"/>
    <cellStyle name="Normal 3 2 2" xfId="57"/>
    <cellStyle name="Normal 3 2 3" xfId="225"/>
    <cellStyle name="Normal 3 2 4" xfId="341"/>
    <cellStyle name="Normal 3 2 5" xfId="268"/>
    <cellStyle name="Normal 3 2 6" xfId="343"/>
    <cellStyle name="Normal 3 2 7" xfId="142"/>
    <cellStyle name="Normal 3 2 8" xfId="362"/>
    <cellStyle name="Normal 3 2 9" xfId="380"/>
    <cellStyle name="Normal 3 3" xfId="224"/>
    <cellStyle name="Normal 3 4" xfId="226"/>
    <cellStyle name="Normal 3 5" xfId="227"/>
    <cellStyle name="Normal 3 6" xfId="228"/>
    <cellStyle name="Normal 3 7" xfId="229"/>
    <cellStyle name="Normal 3 8" xfId="230"/>
    <cellStyle name="Normal 3 9" xfId="340"/>
    <cellStyle name="Normal 30" xfId="231"/>
    <cellStyle name="Normal 31" xfId="246"/>
    <cellStyle name="Normal 32" xfId="253"/>
    <cellStyle name="Normal 33" xfId="255"/>
    <cellStyle name="Normal 34" xfId="257"/>
    <cellStyle name="Normal 35" xfId="259"/>
    <cellStyle name="Normal 36" xfId="267"/>
    <cellStyle name="Normal 37" xfId="434"/>
    <cellStyle name="Normal 38" xfId="450"/>
    <cellStyle name="Normal 39" xfId="22"/>
    <cellStyle name="Normal 4" xfId="33"/>
    <cellStyle name="Normal 4 10" xfId="166"/>
    <cellStyle name="Normal 4 11" xfId="368"/>
    <cellStyle name="Normal 4 12" xfId="386"/>
    <cellStyle name="Normal 4 13" xfId="402"/>
    <cellStyle name="Normal 4 14" xfId="417"/>
    <cellStyle name="Normal 4 2" xfId="58"/>
    <cellStyle name="Normal 4 2 2" xfId="233"/>
    <cellStyle name="Normal 4 2 3" xfId="345"/>
    <cellStyle name="Normal 4 2 4" xfId="194"/>
    <cellStyle name="Normal 4 2 5" xfId="346"/>
    <cellStyle name="Normal 4 2 6" xfId="211"/>
    <cellStyle name="Normal 4 2 7" xfId="349"/>
    <cellStyle name="Normal 4 2 8" xfId="212"/>
    <cellStyle name="Normal 4 3" xfId="232"/>
    <cellStyle name="Normal 4 4" xfId="234"/>
    <cellStyle name="Normal 4 5" xfId="235"/>
    <cellStyle name="Normal 4 6" xfId="236"/>
    <cellStyle name="Normal 4 7" xfId="237"/>
    <cellStyle name="Normal 4 8" xfId="238"/>
    <cellStyle name="Normal 4 9" xfId="344"/>
    <cellStyle name="Normal 40" xfId="452"/>
    <cellStyle name="Normal 41" xfId="454"/>
    <cellStyle name="Normal 42" xfId="456"/>
    <cellStyle name="Normal 43" xfId="471"/>
    <cellStyle name="Normal 5" xfId="34"/>
    <cellStyle name="Normal 5 10" xfId="88"/>
    <cellStyle name="Normal 5 11" xfId="446"/>
    <cellStyle name="Normal 5 2" xfId="35"/>
    <cellStyle name="Normal 5 3" xfId="239"/>
    <cellStyle name="Normal 5 4" xfId="350"/>
    <cellStyle name="Normal 5 5" xfId="369"/>
    <cellStyle name="Normal 5 6" xfId="387"/>
    <cellStyle name="Normal 5 7" xfId="403"/>
    <cellStyle name="Normal 5 8" xfId="418"/>
    <cellStyle name="Normal 5 9" xfId="429"/>
    <cellStyle name="Normal 6" xfId="36"/>
    <cellStyle name="Normal 6 2" xfId="240"/>
    <cellStyle name="Normal 6 3" xfId="351"/>
    <cellStyle name="Normal 6 4" xfId="370"/>
    <cellStyle name="Normal 6 5" xfId="388"/>
    <cellStyle name="Normal 6 6" xfId="404"/>
    <cellStyle name="Normal 6 7" xfId="419"/>
    <cellStyle name="Normal 6 8" xfId="430"/>
    <cellStyle name="Normal 7" xfId="37"/>
    <cellStyle name="Normal 7 10" xfId="447"/>
    <cellStyle name="Normal 7 2" xfId="241"/>
    <cellStyle name="Normal 7 2 2" xfId="243"/>
    <cellStyle name="Normal 7 3" xfId="352"/>
    <cellStyle name="Normal 7 4" xfId="371"/>
    <cellStyle name="Normal 7 5" xfId="389"/>
    <cellStyle name="Normal 7 6" xfId="405"/>
    <cellStyle name="Normal 7 7" xfId="420"/>
    <cellStyle name="Normal 7 8" xfId="431"/>
    <cellStyle name="Normal 7 9" xfId="89"/>
    <cellStyle name="Normal 8" xfId="52"/>
    <cellStyle name="Normal 8 2" xfId="244"/>
    <cellStyle name="Normal 8 3" xfId="354"/>
    <cellStyle name="Normal 8 4" xfId="372"/>
    <cellStyle name="Normal 8 5" xfId="390"/>
    <cellStyle name="Normal 8 6" xfId="406"/>
    <cellStyle name="Normal 8 7" xfId="422"/>
    <cellStyle name="Normal 8 8" xfId="432"/>
    <cellStyle name="Normal 9" xfId="53"/>
    <cellStyle name="Normal 9 2" xfId="245"/>
    <cellStyle name="Normal 9 3" xfId="355"/>
    <cellStyle name="Normal 9 4" xfId="373"/>
    <cellStyle name="Normal 9 5" xfId="391"/>
    <cellStyle name="Normal 9 6" xfId="407"/>
    <cellStyle name="Normal 9 7" xfId="423"/>
    <cellStyle name="Normal 9 8" xfId="433"/>
    <cellStyle name="Normal_F2.1" xfId="462"/>
    <cellStyle name="Normal_F2.2" xfId="465"/>
    <cellStyle name="Normal_F2.3" xfId="466"/>
    <cellStyle name="Normal_FORMATS 5 YEAR ALOKE 2" xfId="14"/>
    <cellStyle name="Percent [0]_#6 Temps &amp; Contractors" xfId="15"/>
    <cellStyle name="Percent [2]" xfId="16"/>
    <cellStyle name="Percent 2" xfId="38"/>
    <cellStyle name="Percent 2 2" xfId="39"/>
    <cellStyle name="Percent 2 3" xfId="59"/>
    <cellStyle name="Percent 3" xfId="40"/>
    <cellStyle name="Percent 3 2" xfId="41"/>
    <cellStyle name="Percent 4" xfId="23"/>
    <cellStyle name="Percent 41" xfId="20"/>
    <cellStyle name="Percent 41 2" xfId="90"/>
    <cellStyle name="Percent 41 3" xfId="448"/>
    <cellStyle name="Percent 5" xfId="42"/>
    <cellStyle name="Percent 5 2" xfId="43"/>
    <cellStyle name="Percent 5 3" xfId="44"/>
    <cellStyle name="Percent 6" xfId="45"/>
    <cellStyle name="Percent 6 2" xfId="46"/>
    <cellStyle name="Percent 7" xfId="65"/>
    <cellStyle name="Percent 7 2" xfId="91"/>
    <cellStyle name="Percent 7 3" xfId="449"/>
    <cellStyle name="Style 1" xfId="17"/>
    <cellStyle name="Style 2" xfId="54"/>
  </cellStyles>
  <dxfs count="0"/>
  <tableStyles count="0" defaultTableStyle="TableStyleMedium9" defaultPivotStyle="PivotStyleLight16"/>
  <colors>
    <mruColors>
      <color rgb="FFFBCB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h1\EMAIL\Performance\PERFORMANCE\ocm\Yearly_perf\OCMJAN2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21\shared%20doc\ARR%202.6%20REV\Performance\PERFORMANCE\ocm\Yearly_perf\OCMJAN20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Performance\PERFORMANCE\ocm\Yearly_perf\OCMJAN20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2000-01"/>
      <sheetName val="04REL"/>
      <sheetName val="Inputs &amp; Assumptions"/>
      <sheetName val="Daily_input"/>
      <sheetName val="Daily_report"/>
      <sheetName val="Title"/>
      <sheetName val="CAPI_01-02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Assumptions"/>
      <sheetName val="A 3.7"/>
      <sheetName val="water_bal"/>
      <sheetName val="Daily_input"/>
      <sheetName val="Daily_report"/>
      <sheetName val="A_3_7"/>
      <sheetName val="Clause 9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04REL"/>
      <sheetName val="Daily_input"/>
      <sheetName val="Daily_report"/>
      <sheetName val="Instruction Sheet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/>
      <sheetData sheetId="17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6"/>
  <sheetViews>
    <sheetView showGridLines="0" zoomScale="80" zoomScaleNormal="80" zoomScaleSheetLayoutView="80" workbookViewId="0">
      <selection activeCell="H11" sqref="H11"/>
    </sheetView>
  </sheetViews>
  <sheetFormatPr defaultColWidth="9.28515625" defaultRowHeight="15" x14ac:dyDescent="0.2"/>
  <cols>
    <col min="1" max="1" width="3.7109375" style="6" customWidth="1"/>
    <col min="2" max="2" width="7.42578125" style="6" customWidth="1"/>
    <col min="3" max="3" width="12.5703125" style="6" customWidth="1"/>
    <col min="4" max="4" width="43.28515625" style="6" customWidth="1"/>
    <col min="5" max="5" width="11.42578125" style="6" customWidth="1"/>
    <col min="6" max="6" width="20.7109375" style="6" customWidth="1"/>
    <col min="7" max="8" width="18.7109375" style="6" customWidth="1"/>
    <col min="9" max="16384" width="9.28515625" style="6"/>
  </cols>
  <sheetData>
    <row r="1" spans="2:8" ht="15.75" x14ac:dyDescent="0.2">
      <c r="B1" s="207" t="s">
        <v>297</v>
      </c>
      <c r="C1" s="207"/>
      <c r="D1" s="208"/>
      <c r="E1" s="208"/>
      <c r="F1" s="1"/>
      <c r="G1" s="1"/>
      <c r="H1" s="1"/>
    </row>
    <row r="2" spans="2:8" ht="15.75" x14ac:dyDescent="0.2">
      <c r="B2" s="207" t="s">
        <v>339</v>
      </c>
      <c r="C2" s="207"/>
      <c r="D2" s="208"/>
      <c r="E2" s="208"/>
      <c r="F2" s="1"/>
      <c r="G2" s="1"/>
      <c r="H2" s="1"/>
    </row>
    <row r="3" spans="2:8" s="10" customFormat="1" ht="15.75" x14ac:dyDescent="0.2">
      <c r="B3" s="209" t="s">
        <v>272</v>
      </c>
      <c r="C3" s="209"/>
      <c r="D3" s="210"/>
      <c r="E3" s="210"/>
      <c r="F3" s="1"/>
      <c r="G3" s="1"/>
      <c r="H3" s="1"/>
    </row>
    <row r="4" spans="2:8" ht="15.75" x14ac:dyDescent="0.2">
      <c r="D4" s="65" t="s">
        <v>274</v>
      </c>
    </row>
    <row r="5" spans="2:8" ht="15.75" x14ac:dyDescent="0.2">
      <c r="B5" s="11" t="s">
        <v>164</v>
      </c>
      <c r="C5" s="11" t="s">
        <v>273</v>
      </c>
      <c r="D5" s="12" t="s">
        <v>7</v>
      </c>
      <c r="E5" s="12" t="s">
        <v>275</v>
      </c>
    </row>
    <row r="6" spans="2:8" x14ac:dyDescent="0.2">
      <c r="B6" s="7">
        <v>1</v>
      </c>
      <c r="C6" s="7" t="s">
        <v>6</v>
      </c>
      <c r="D6" s="142" t="s">
        <v>277</v>
      </c>
      <c r="E6" s="8"/>
    </row>
    <row r="7" spans="2:8" x14ac:dyDescent="0.2">
      <c r="B7" s="7">
        <f>B6+1</f>
        <v>2</v>
      </c>
      <c r="C7" s="7" t="s">
        <v>232</v>
      </c>
      <c r="D7" s="142" t="s">
        <v>279</v>
      </c>
      <c r="E7" s="8"/>
    </row>
    <row r="8" spans="2:8" x14ac:dyDescent="0.2">
      <c r="B8" s="7">
        <f>B7+1</f>
        <v>3</v>
      </c>
      <c r="C8" s="7" t="s">
        <v>20</v>
      </c>
      <c r="D8" s="142" t="s">
        <v>280</v>
      </c>
      <c r="E8" s="8"/>
    </row>
    <row r="9" spans="2:8" x14ac:dyDescent="0.2">
      <c r="B9" s="7">
        <f>B8+1</f>
        <v>4</v>
      </c>
      <c r="C9" s="7" t="s">
        <v>21</v>
      </c>
      <c r="D9" s="142" t="s">
        <v>281</v>
      </c>
      <c r="E9" s="8"/>
    </row>
    <row r="10" spans="2:8" x14ac:dyDescent="0.2">
      <c r="B10" s="7">
        <f>B9+1</f>
        <v>5</v>
      </c>
      <c r="C10" s="7" t="s">
        <v>233</v>
      </c>
      <c r="D10" s="142" t="s">
        <v>282</v>
      </c>
      <c r="E10" s="8"/>
    </row>
    <row r="11" spans="2:8" ht="30" x14ac:dyDescent="0.2">
      <c r="B11" s="7">
        <f t="shared" ref="B11:B26" si="0">B10+1</f>
        <v>6</v>
      </c>
      <c r="C11" s="7" t="s">
        <v>18</v>
      </c>
      <c r="D11" s="142" t="s">
        <v>187</v>
      </c>
      <c r="E11" s="8"/>
    </row>
    <row r="12" spans="2:8" ht="30" x14ac:dyDescent="0.2">
      <c r="B12" s="7">
        <f t="shared" si="0"/>
        <v>7</v>
      </c>
      <c r="C12" s="7" t="s">
        <v>23</v>
      </c>
      <c r="D12" s="142" t="s">
        <v>283</v>
      </c>
      <c r="E12" s="8"/>
    </row>
    <row r="13" spans="2:8" x14ac:dyDescent="0.2">
      <c r="B13" s="7">
        <f t="shared" si="0"/>
        <v>8</v>
      </c>
      <c r="C13" s="7" t="s">
        <v>24</v>
      </c>
      <c r="D13" s="9" t="s">
        <v>161</v>
      </c>
      <c r="E13" s="8"/>
    </row>
    <row r="14" spans="2:8" x14ac:dyDescent="0.2">
      <c r="B14" s="7">
        <f t="shared" si="0"/>
        <v>9</v>
      </c>
      <c r="C14" s="7" t="s">
        <v>19</v>
      </c>
      <c r="D14" s="9" t="s">
        <v>284</v>
      </c>
      <c r="E14" s="8"/>
    </row>
    <row r="15" spans="2:8" x14ac:dyDescent="0.2">
      <c r="B15" s="7">
        <f t="shared" si="0"/>
        <v>10</v>
      </c>
      <c r="C15" s="7" t="s">
        <v>25</v>
      </c>
      <c r="D15" s="142" t="s">
        <v>199</v>
      </c>
      <c r="E15" s="8"/>
    </row>
    <row r="16" spans="2:8" x14ac:dyDescent="0.2">
      <c r="B16" s="7">
        <f t="shared" si="0"/>
        <v>11</v>
      </c>
      <c r="C16" s="7" t="s">
        <v>26</v>
      </c>
      <c r="D16" s="9" t="s">
        <v>253</v>
      </c>
      <c r="E16" s="8"/>
    </row>
    <row r="17" spans="2:5" x14ac:dyDescent="0.2">
      <c r="B17" s="7">
        <f t="shared" si="0"/>
        <v>12</v>
      </c>
      <c r="C17" s="7" t="s">
        <v>27</v>
      </c>
      <c r="D17" s="9" t="s">
        <v>200</v>
      </c>
      <c r="E17" s="8"/>
    </row>
    <row r="18" spans="2:5" x14ac:dyDescent="0.2">
      <c r="B18" s="7">
        <f t="shared" si="0"/>
        <v>13</v>
      </c>
      <c r="C18" s="7" t="s">
        <v>28</v>
      </c>
      <c r="D18" s="9" t="s">
        <v>140</v>
      </c>
      <c r="E18" s="8"/>
    </row>
    <row r="19" spans="2:5" x14ac:dyDescent="0.2">
      <c r="B19" s="7">
        <f t="shared" si="0"/>
        <v>14</v>
      </c>
      <c r="C19" s="7" t="s">
        <v>29</v>
      </c>
      <c r="D19" s="9" t="s">
        <v>22</v>
      </c>
      <c r="E19" s="8"/>
    </row>
    <row r="20" spans="2:5" x14ac:dyDescent="0.2">
      <c r="B20" s="7">
        <f t="shared" si="0"/>
        <v>15</v>
      </c>
      <c r="C20" s="7" t="s">
        <v>30</v>
      </c>
      <c r="D20" s="142" t="s">
        <v>285</v>
      </c>
      <c r="E20" s="8"/>
    </row>
    <row r="21" spans="2:5" ht="30" x14ac:dyDescent="0.2">
      <c r="B21" s="7">
        <f t="shared" si="0"/>
        <v>16</v>
      </c>
      <c r="C21" s="7" t="s">
        <v>31</v>
      </c>
      <c r="D21" s="142" t="s">
        <v>286</v>
      </c>
      <c r="E21" s="8"/>
    </row>
    <row r="22" spans="2:5" x14ac:dyDescent="0.2">
      <c r="B22" s="7">
        <f t="shared" si="0"/>
        <v>17</v>
      </c>
      <c r="C22" s="7" t="s">
        <v>141</v>
      </c>
      <c r="D22" s="142" t="s">
        <v>203</v>
      </c>
      <c r="E22" s="8"/>
    </row>
    <row r="23" spans="2:5" x14ac:dyDescent="0.2">
      <c r="B23" s="7">
        <f t="shared" si="0"/>
        <v>18</v>
      </c>
      <c r="C23" s="7" t="s">
        <v>145</v>
      </c>
      <c r="D23" s="142" t="s">
        <v>287</v>
      </c>
      <c r="E23" s="8"/>
    </row>
    <row r="24" spans="2:5" x14ac:dyDescent="0.2">
      <c r="B24" s="7">
        <f t="shared" si="0"/>
        <v>19</v>
      </c>
      <c r="C24" s="7" t="s">
        <v>276</v>
      </c>
      <c r="D24" s="142" t="s">
        <v>194</v>
      </c>
      <c r="E24" s="8"/>
    </row>
    <row r="25" spans="2:5" x14ac:dyDescent="0.2">
      <c r="B25" s="7">
        <f t="shared" si="0"/>
        <v>20</v>
      </c>
      <c r="C25" s="7" t="s">
        <v>188</v>
      </c>
      <c r="D25" s="142" t="s">
        <v>288</v>
      </c>
      <c r="E25" s="8"/>
    </row>
    <row r="26" spans="2:5" x14ac:dyDescent="0.2">
      <c r="B26" s="7">
        <f t="shared" si="0"/>
        <v>21</v>
      </c>
      <c r="C26" s="7" t="s">
        <v>189</v>
      </c>
      <c r="D26" s="9" t="s">
        <v>289</v>
      </c>
      <c r="E26" s="8"/>
    </row>
  </sheetData>
  <mergeCells count="3">
    <mergeCell ref="B1:E1"/>
    <mergeCell ref="B3:E3"/>
    <mergeCell ref="B2:E2"/>
  </mergeCells>
  <phoneticPr fontId="14" type="noConversion"/>
  <pageMargins left="1.3" right="0.23622047244094499" top="1.1023622047244099" bottom="0.98425196850393704" header="0.23622047244094499" footer="0.23622047244094499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50"/>
  <sheetViews>
    <sheetView topLeftCell="A3" zoomScale="93" zoomScaleNormal="93" zoomScaleSheetLayoutView="90" workbookViewId="0">
      <selection activeCell="Q40" sqref="Q40"/>
    </sheetView>
  </sheetViews>
  <sheetFormatPr defaultColWidth="9.28515625" defaultRowHeight="14.25" x14ac:dyDescent="0.2"/>
  <cols>
    <col min="1" max="1" width="4.28515625" style="5" customWidth="1"/>
    <col min="2" max="2" width="5.140625" style="5" customWidth="1"/>
    <col min="3" max="3" width="23.140625" style="5" customWidth="1"/>
    <col min="4" max="4" width="8.140625" style="5" customWidth="1"/>
    <col min="5" max="5" width="11.28515625" style="5" customWidth="1"/>
    <col min="6" max="6" width="12.42578125" style="5" customWidth="1"/>
    <col min="7" max="7" width="9.5703125" style="5" customWidth="1"/>
    <col min="8" max="8" width="12.28515625" style="5" customWidth="1"/>
    <col min="9" max="9" width="12.140625" style="5" customWidth="1"/>
    <col min="10" max="10" width="14.140625" style="5" customWidth="1"/>
    <col min="11" max="11" width="9.5703125" style="5" customWidth="1"/>
    <col min="12" max="12" width="9.42578125" style="5" customWidth="1"/>
    <col min="13" max="13" width="12.85546875" style="5" customWidth="1"/>
    <col min="14" max="14" width="12.5703125" style="5" customWidth="1"/>
    <col min="15" max="15" width="10.7109375" style="5" customWidth="1"/>
    <col min="16" max="16" width="13.7109375" style="5" bestFit="1" customWidth="1"/>
    <col min="17" max="22" width="11.7109375" style="5" bestFit="1" customWidth="1"/>
    <col min="23" max="16384" width="9.28515625" style="5"/>
  </cols>
  <sheetData>
    <row r="1" spans="2:16" ht="6" customHeight="1" x14ac:dyDescent="0.2">
      <c r="B1" s="24"/>
    </row>
    <row r="2" spans="2:16" ht="15" x14ac:dyDescent="0.2">
      <c r="H2" s="32" t="s">
        <v>298</v>
      </c>
      <c r="I2" s="33"/>
    </row>
    <row r="3" spans="2:16" ht="15" x14ac:dyDescent="0.2">
      <c r="H3" s="32" t="str">
        <f>'F1'!$F$3</f>
        <v>Pulichinthala HES</v>
      </c>
      <c r="I3" s="33"/>
    </row>
    <row r="4" spans="2:16" ht="15" x14ac:dyDescent="0.2">
      <c r="H4" s="35" t="s">
        <v>238</v>
      </c>
      <c r="I4" s="35"/>
    </row>
    <row r="5" spans="2:16" ht="10.5" customHeight="1" x14ac:dyDescent="0.2">
      <c r="K5" s="35"/>
      <c r="O5" s="32" t="s">
        <v>4</v>
      </c>
    </row>
    <row r="6" spans="2:16" ht="7.5" customHeight="1" thickBot="1" x14ac:dyDescent="0.25"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</row>
    <row r="7" spans="2:16" ht="15" x14ac:dyDescent="0.2">
      <c r="B7" s="234" t="s">
        <v>299</v>
      </c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6"/>
    </row>
    <row r="8" spans="2:16" ht="14.25" customHeight="1" x14ac:dyDescent="0.2">
      <c r="B8" s="237" t="s">
        <v>2</v>
      </c>
      <c r="C8" s="239" t="s">
        <v>231</v>
      </c>
      <c r="D8" s="232" t="s">
        <v>220</v>
      </c>
      <c r="E8" s="232" t="s">
        <v>221</v>
      </c>
      <c r="F8" s="232" t="s">
        <v>222</v>
      </c>
      <c r="G8" s="232"/>
      <c r="H8" s="232"/>
      <c r="I8" s="232"/>
      <c r="J8" s="232" t="s">
        <v>223</v>
      </c>
      <c r="K8" s="232"/>
      <c r="L8" s="232"/>
      <c r="M8" s="232"/>
      <c r="N8" s="232" t="s">
        <v>224</v>
      </c>
      <c r="O8" s="233"/>
    </row>
    <row r="9" spans="2:16" ht="60.75" thickBot="1" x14ac:dyDescent="0.25">
      <c r="B9" s="238"/>
      <c r="C9" s="240"/>
      <c r="D9" s="241"/>
      <c r="E9" s="241"/>
      <c r="F9" s="63" t="s">
        <v>225</v>
      </c>
      <c r="G9" s="63" t="s">
        <v>122</v>
      </c>
      <c r="H9" s="63" t="s">
        <v>226</v>
      </c>
      <c r="I9" s="63" t="s">
        <v>227</v>
      </c>
      <c r="J9" s="63" t="s">
        <v>228</v>
      </c>
      <c r="K9" s="63" t="s">
        <v>122</v>
      </c>
      <c r="L9" s="63" t="s">
        <v>229</v>
      </c>
      <c r="M9" s="63" t="s">
        <v>230</v>
      </c>
      <c r="N9" s="63" t="s">
        <v>225</v>
      </c>
      <c r="O9" s="64" t="s">
        <v>227</v>
      </c>
    </row>
    <row r="10" spans="2:16" ht="15" x14ac:dyDescent="0.2">
      <c r="B10" s="152">
        <v>1</v>
      </c>
      <c r="C10" s="153" t="s">
        <v>329</v>
      </c>
      <c r="D10" s="154">
        <v>1000</v>
      </c>
      <c r="E10" s="127"/>
      <c r="F10" s="155">
        <v>0.77542999999999995</v>
      </c>
      <c r="G10" s="129"/>
      <c r="H10" s="129"/>
      <c r="I10" s="128">
        <f>F10+G10+H10</f>
        <v>0.77542999999999995</v>
      </c>
      <c r="J10" s="169">
        <v>0</v>
      </c>
      <c r="K10" s="169">
        <v>0</v>
      </c>
      <c r="L10" s="129"/>
      <c r="M10" s="128">
        <f>J10+K10+L10</f>
        <v>0</v>
      </c>
      <c r="N10" s="129">
        <f>+F10-J10</f>
        <v>0.77542999999999995</v>
      </c>
      <c r="O10" s="129">
        <f>+I10-M10</f>
        <v>0.77542999999999995</v>
      </c>
    </row>
    <row r="11" spans="2:16" ht="15" x14ac:dyDescent="0.2">
      <c r="B11" s="152">
        <v>2</v>
      </c>
      <c r="C11" s="153" t="s">
        <v>330</v>
      </c>
      <c r="D11" s="154">
        <v>1100</v>
      </c>
      <c r="E11" s="127"/>
      <c r="F11" s="155">
        <v>5.0163611829999999</v>
      </c>
      <c r="G11" s="129"/>
      <c r="H11" s="129"/>
      <c r="I11" s="128">
        <f t="shared" ref="I11:I19" si="0">F11+G11+H11</f>
        <v>5.0163611829999999</v>
      </c>
      <c r="J11" s="169">
        <v>2.1268226980000002</v>
      </c>
      <c r="K11" s="169">
        <v>0.11431555700000001</v>
      </c>
      <c r="L11" s="129"/>
      <c r="M11" s="128">
        <f t="shared" ref="M11:M19" si="1">J11+K11+L11</f>
        <v>2.2411382550000001</v>
      </c>
      <c r="N11" s="129">
        <f t="shared" ref="N11:N19" si="2">+F11-J11</f>
        <v>2.8895384849999997</v>
      </c>
      <c r="O11" s="129">
        <f t="shared" ref="O11:O19" si="3">+I11-M11</f>
        <v>2.7752229279999998</v>
      </c>
    </row>
    <row r="12" spans="2:16" ht="15" x14ac:dyDescent="0.2">
      <c r="B12" s="152">
        <v>3</v>
      </c>
      <c r="C12" s="153" t="s">
        <v>331</v>
      </c>
      <c r="D12" s="154">
        <v>1200</v>
      </c>
      <c r="E12" s="130"/>
      <c r="F12" s="155">
        <v>5.1173780109999996</v>
      </c>
      <c r="G12" s="129"/>
      <c r="H12" s="129"/>
      <c r="I12" s="128">
        <f t="shared" si="0"/>
        <v>5.1173780109999996</v>
      </c>
      <c r="J12" s="169">
        <v>1.0955980519999999</v>
      </c>
      <c r="K12" s="169">
        <v>0.108001297</v>
      </c>
      <c r="L12" s="129"/>
      <c r="M12" s="128">
        <f t="shared" si="1"/>
        <v>1.2035993489999999</v>
      </c>
      <c r="N12" s="129">
        <f t="shared" si="2"/>
        <v>4.0217799589999998</v>
      </c>
      <c r="O12" s="129">
        <f t="shared" si="3"/>
        <v>3.9137786619999995</v>
      </c>
    </row>
    <row r="13" spans="2:16" ht="15" x14ac:dyDescent="0.2">
      <c r="B13" s="152">
        <v>4</v>
      </c>
      <c r="C13" s="153" t="s">
        <v>332</v>
      </c>
      <c r="D13" s="154">
        <v>1300</v>
      </c>
      <c r="E13" s="130"/>
      <c r="F13" s="155">
        <v>260.66502128499997</v>
      </c>
      <c r="G13" s="129"/>
      <c r="H13" s="129"/>
      <c r="I13" s="128">
        <f t="shared" si="0"/>
        <v>260.66502128499997</v>
      </c>
      <c r="J13" s="169">
        <v>47.948608830999987</v>
      </c>
      <c r="K13" s="169">
        <v>4.2621309270000021</v>
      </c>
      <c r="L13" s="129"/>
      <c r="M13" s="128">
        <f t="shared" si="1"/>
        <v>52.210739757999988</v>
      </c>
      <c r="N13" s="129">
        <f t="shared" si="2"/>
        <v>212.71641245399996</v>
      </c>
      <c r="O13" s="129">
        <f t="shared" si="3"/>
        <v>208.45428152699998</v>
      </c>
    </row>
    <row r="14" spans="2:16" ht="15" x14ac:dyDescent="0.2">
      <c r="B14" s="152">
        <v>5</v>
      </c>
      <c r="C14" s="153" t="s">
        <v>333</v>
      </c>
      <c r="D14" s="154">
        <v>1500</v>
      </c>
      <c r="E14" s="130"/>
      <c r="F14" s="155">
        <v>3.7370239119999997</v>
      </c>
      <c r="G14" s="129"/>
      <c r="H14" s="129"/>
      <c r="I14" s="128">
        <f>F14+G14+H14</f>
        <v>3.7370239119999997</v>
      </c>
      <c r="J14" s="169">
        <v>0.61794595299999999</v>
      </c>
      <c r="K14" s="169">
        <v>0.18435523400000001</v>
      </c>
      <c r="L14" s="129"/>
      <c r="M14" s="128">
        <f t="shared" si="1"/>
        <v>0.80230118699999997</v>
      </c>
      <c r="N14" s="129">
        <f t="shared" si="2"/>
        <v>3.1190779589999997</v>
      </c>
      <c r="O14" s="129">
        <f t="shared" si="3"/>
        <v>2.9347227249999999</v>
      </c>
      <c r="P14" s="143"/>
    </row>
    <row r="15" spans="2:16" ht="15" x14ac:dyDescent="0.2">
      <c r="B15" s="152">
        <v>6</v>
      </c>
      <c r="C15" s="153" t="s">
        <v>334</v>
      </c>
      <c r="D15" s="154">
        <v>1600</v>
      </c>
      <c r="E15" s="130"/>
      <c r="F15" s="155">
        <v>163.61140957200001</v>
      </c>
      <c r="G15" s="129"/>
      <c r="H15" s="129"/>
      <c r="I15" s="128">
        <f t="shared" si="0"/>
        <v>163.61140957200001</v>
      </c>
      <c r="J15" s="169">
        <v>32.698733126</v>
      </c>
      <c r="K15" s="169">
        <v>4.3436476520000005</v>
      </c>
      <c r="L15" s="129"/>
      <c r="M15" s="128">
        <f t="shared" si="1"/>
        <v>37.042380778000002</v>
      </c>
      <c r="N15" s="129">
        <f t="shared" si="2"/>
        <v>130.91267644600001</v>
      </c>
      <c r="O15" s="129">
        <f t="shared" si="3"/>
        <v>126.56902879400002</v>
      </c>
    </row>
    <row r="16" spans="2:16" ht="15" x14ac:dyDescent="0.2">
      <c r="B16" s="152">
        <v>7</v>
      </c>
      <c r="C16" s="153" t="s">
        <v>335</v>
      </c>
      <c r="D16" s="154">
        <v>1700</v>
      </c>
      <c r="E16" s="130"/>
      <c r="F16" s="155">
        <v>0.68049910000000002</v>
      </c>
      <c r="G16" s="129"/>
      <c r="H16" s="129"/>
      <c r="I16" s="128">
        <f t="shared" si="0"/>
        <v>0.68049910000000002</v>
      </c>
      <c r="J16" s="169">
        <v>0.61244919000000009</v>
      </c>
      <c r="K16" s="169">
        <v>0</v>
      </c>
      <c r="L16" s="129"/>
      <c r="M16" s="128">
        <f t="shared" si="1"/>
        <v>0.61244919000000009</v>
      </c>
      <c r="N16" s="129">
        <f t="shared" si="2"/>
        <v>6.8049909999999936E-2</v>
      </c>
      <c r="O16" s="129">
        <f t="shared" si="3"/>
        <v>6.8049909999999936E-2</v>
      </c>
    </row>
    <row r="17" spans="2:16" ht="15" x14ac:dyDescent="0.2">
      <c r="B17" s="152">
        <v>8</v>
      </c>
      <c r="C17" s="153" t="s">
        <v>336</v>
      </c>
      <c r="D17" s="154">
        <v>1800</v>
      </c>
      <c r="E17" s="130"/>
      <c r="F17" s="155">
        <v>0.62565425399999997</v>
      </c>
      <c r="G17" s="129"/>
      <c r="H17" s="129"/>
      <c r="I17" s="128">
        <f t="shared" si="0"/>
        <v>0.62565425399999997</v>
      </c>
      <c r="J17" s="169">
        <v>0.347181982</v>
      </c>
      <c r="K17" s="169">
        <v>5.6790764000000001E-2</v>
      </c>
      <c r="L17" s="129"/>
      <c r="M17" s="128">
        <f t="shared" si="1"/>
        <v>0.40397274599999999</v>
      </c>
      <c r="N17" s="129">
        <f t="shared" si="2"/>
        <v>0.27847227199999997</v>
      </c>
      <c r="O17" s="129">
        <f t="shared" si="3"/>
        <v>0.22168150799999997</v>
      </c>
    </row>
    <row r="18" spans="2:16" ht="15" x14ac:dyDescent="0.2">
      <c r="B18" s="152">
        <v>9</v>
      </c>
      <c r="C18" s="153" t="s">
        <v>303</v>
      </c>
      <c r="D18" s="154">
        <v>1900</v>
      </c>
      <c r="E18" s="130"/>
      <c r="F18" s="155">
        <v>0.27048228800000002</v>
      </c>
      <c r="G18" s="129"/>
      <c r="H18" s="129"/>
      <c r="I18" s="128">
        <f t="shared" si="0"/>
        <v>0.27048228800000002</v>
      </c>
      <c r="J18" s="169">
        <v>0.22146992500000001</v>
      </c>
      <c r="K18" s="169">
        <v>3.2412565000000004E-2</v>
      </c>
      <c r="L18" s="129"/>
      <c r="M18" s="128">
        <f t="shared" si="1"/>
        <v>0.25388249000000002</v>
      </c>
      <c r="N18" s="129">
        <f t="shared" si="2"/>
        <v>4.9012363000000003E-2</v>
      </c>
      <c r="O18" s="129">
        <f t="shared" si="3"/>
        <v>1.6599797999999999E-2</v>
      </c>
    </row>
    <row r="19" spans="2:16" ht="15" x14ac:dyDescent="0.2">
      <c r="B19" s="152">
        <v>10</v>
      </c>
      <c r="C19" s="153" t="s">
        <v>337</v>
      </c>
      <c r="D19" s="154">
        <v>2100</v>
      </c>
      <c r="E19" s="130"/>
      <c r="F19" s="155">
        <v>0.26074039500000001</v>
      </c>
      <c r="G19" s="129"/>
      <c r="H19" s="129"/>
      <c r="I19" s="128">
        <f t="shared" si="0"/>
        <v>0.26074039500000001</v>
      </c>
      <c r="J19" s="169">
        <v>0.151190243</v>
      </c>
      <c r="K19" s="169">
        <v>3.8346003999999996E-2</v>
      </c>
      <c r="L19" s="129"/>
      <c r="M19" s="128">
        <f t="shared" si="1"/>
        <v>0.18953624699999999</v>
      </c>
      <c r="N19" s="129">
        <f t="shared" si="2"/>
        <v>0.10955015200000001</v>
      </c>
      <c r="O19" s="129">
        <f t="shared" si="3"/>
        <v>7.1204148000000023E-2</v>
      </c>
    </row>
    <row r="20" spans="2:16" ht="15.75" thickBot="1" x14ac:dyDescent="0.25">
      <c r="B20" s="170"/>
      <c r="C20" s="171" t="s">
        <v>123</v>
      </c>
      <c r="D20" s="171"/>
      <c r="E20" s="172">
        <f>IFERROR((K20-L20)/AVERAGE(F20,I20),0)</f>
        <v>2.0736908975406119E-2</v>
      </c>
      <c r="F20" s="173">
        <f>ROUND(SUM(F10:F19),2)</f>
        <v>440.76</v>
      </c>
      <c r="G20" s="173">
        <f t="shared" ref="G20:O20" si="4">ROUND(SUM(G10:G19),2)</f>
        <v>0</v>
      </c>
      <c r="H20" s="173">
        <f t="shared" si="4"/>
        <v>0</v>
      </c>
      <c r="I20" s="173">
        <f t="shared" si="4"/>
        <v>440.76</v>
      </c>
      <c r="J20" s="173">
        <f t="shared" si="4"/>
        <v>85.82</v>
      </c>
      <c r="K20" s="173">
        <f t="shared" si="4"/>
        <v>9.14</v>
      </c>
      <c r="L20" s="173">
        <f t="shared" si="4"/>
        <v>0</v>
      </c>
      <c r="M20" s="173">
        <f t="shared" si="4"/>
        <v>94.96</v>
      </c>
      <c r="N20" s="173">
        <f t="shared" si="4"/>
        <v>354.94</v>
      </c>
      <c r="O20" s="173">
        <f t="shared" si="4"/>
        <v>345.8</v>
      </c>
    </row>
    <row r="21" spans="2:16" ht="15" thickBot="1" x14ac:dyDescent="0.25">
      <c r="E21" s="139"/>
      <c r="F21" s="139"/>
      <c r="G21" s="139"/>
      <c r="H21" s="139"/>
      <c r="I21" s="139"/>
      <c r="J21" s="139"/>
      <c r="K21" s="139"/>
      <c r="L21" s="139"/>
      <c r="M21" s="139"/>
      <c r="N21" s="139"/>
      <c r="O21" s="139"/>
      <c r="P21" s="139"/>
    </row>
    <row r="22" spans="2:16" ht="15" x14ac:dyDescent="0.2">
      <c r="B22" s="234" t="s">
        <v>300</v>
      </c>
      <c r="C22" s="235"/>
      <c r="D22" s="235"/>
      <c r="E22" s="235"/>
      <c r="F22" s="235"/>
      <c r="G22" s="235"/>
      <c r="H22" s="235"/>
      <c r="I22" s="235"/>
      <c r="J22" s="235"/>
      <c r="K22" s="235"/>
      <c r="L22" s="235"/>
      <c r="M22" s="235"/>
      <c r="N22" s="235"/>
      <c r="O22" s="236"/>
    </row>
    <row r="23" spans="2:16" ht="15" x14ac:dyDescent="0.2">
      <c r="B23" s="237" t="s">
        <v>2</v>
      </c>
      <c r="C23" s="239" t="s">
        <v>231</v>
      </c>
      <c r="D23" s="232" t="s">
        <v>220</v>
      </c>
      <c r="E23" s="232" t="s">
        <v>221</v>
      </c>
      <c r="F23" s="232" t="s">
        <v>222</v>
      </c>
      <c r="G23" s="232"/>
      <c r="H23" s="232"/>
      <c r="I23" s="232"/>
      <c r="J23" s="232" t="s">
        <v>223</v>
      </c>
      <c r="K23" s="232"/>
      <c r="L23" s="232"/>
      <c r="M23" s="232"/>
      <c r="N23" s="232" t="s">
        <v>224</v>
      </c>
      <c r="O23" s="233"/>
    </row>
    <row r="24" spans="2:16" ht="60.75" thickBot="1" x14ac:dyDescent="0.25">
      <c r="B24" s="238"/>
      <c r="C24" s="240"/>
      <c r="D24" s="241"/>
      <c r="E24" s="241"/>
      <c r="F24" s="63" t="s">
        <v>225</v>
      </c>
      <c r="G24" s="63" t="s">
        <v>122</v>
      </c>
      <c r="H24" s="63" t="s">
        <v>226</v>
      </c>
      <c r="I24" s="63" t="s">
        <v>227</v>
      </c>
      <c r="J24" s="63" t="s">
        <v>228</v>
      </c>
      <c r="K24" s="63" t="s">
        <v>122</v>
      </c>
      <c r="L24" s="63" t="s">
        <v>229</v>
      </c>
      <c r="M24" s="63" t="s">
        <v>230</v>
      </c>
      <c r="N24" s="63" t="s">
        <v>225</v>
      </c>
      <c r="O24" s="64" t="s">
        <v>227</v>
      </c>
    </row>
    <row r="25" spans="2:16" ht="15" x14ac:dyDescent="0.2">
      <c r="B25" s="152">
        <v>1</v>
      </c>
      <c r="C25" s="153" t="s">
        <v>329</v>
      </c>
      <c r="D25" s="154">
        <v>1000</v>
      </c>
      <c r="E25" s="127">
        <v>0</v>
      </c>
      <c r="F25" s="129">
        <f t="shared" ref="F25:F34" si="5">I10</f>
        <v>0.77542999999999995</v>
      </c>
      <c r="G25" s="129"/>
      <c r="H25" s="129"/>
      <c r="I25" s="128">
        <f>F25+G25+H25</f>
        <v>0.77542999999999995</v>
      </c>
      <c r="J25" s="129">
        <f t="shared" ref="J25:J34" si="6">M10</f>
        <v>0</v>
      </c>
      <c r="K25" s="169">
        <v>0</v>
      </c>
      <c r="L25" s="129"/>
      <c r="M25" s="128">
        <f>J25+K25+L25</f>
        <v>0</v>
      </c>
      <c r="N25" s="129">
        <f>+F25-J25</f>
        <v>0.77542999999999995</v>
      </c>
      <c r="O25" s="129">
        <f>+I25-M25</f>
        <v>0.77542999999999995</v>
      </c>
    </row>
    <row r="26" spans="2:16" ht="15" x14ac:dyDescent="0.2">
      <c r="B26" s="152">
        <v>2</v>
      </c>
      <c r="C26" s="153" t="s">
        <v>330</v>
      </c>
      <c r="D26" s="154">
        <v>1100</v>
      </c>
      <c r="E26" s="127"/>
      <c r="F26" s="129">
        <f t="shared" si="5"/>
        <v>5.0163611829999999</v>
      </c>
      <c r="G26" s="129"/>
      <c r="H26" s="129"/>
      <c r="I26" s="128">
        <f t="shared" ref="I26:I34" si="7">F26+G26+H26</f>
        <v>5.0163611829999999</v>
      </c>
      <c r="J26" s="129">
        <f t="shared" si="6"/>
        <v>2.2411382550000001</v>
      </c>
      <c r="K26" s="169">
        <v>0.11431555700000001</v>
      </c>
      <c r="L26" s="129"/>
      <c r="M26" s="128">
        <f t="shared" ref="M26:M34" si="8">J26+K26+L26</f>
        <v>2.3554538119999999</v>
      </c>
      <c r="N26" s="129">
        <f t="shared" ref="N26:N34" si="9">+F26-J26</f>
        <v>2.7752229279999998</v>
      </c>
      <c r="O26" s="129">
        <f t="shared" ref="O26:O34" si="10">+I26-M26</f>
        <v>2.660907371</v>
      </c>
    </row>
    <row r="27" spans="2:16" ht="15" x14ac:dyDescent="0.2">
      <c r="B27" s="152">
        <v>3</v>
      </c>
      <c r="C27" s="153" t="s">
        <v>331</v>
      </c>
      <c r="D27" s="154">
        <v>1200</v>
      </c>
      <c r="E27" s="130"/>
      <c r="F27" s="129">
        <f t="shared" si="5"/>
        <v>5.1173780109999996</v>
      </c>
      <c r="G27" s="129"/>
      <c r="H27" s="129"/>
      <c r="I27" s="128">
        <f t="shared" si="7"/>
        <v>5.1173780109999996</v>
      </c>
      <c r="J27" s="129">
        <f t="shared" si="6"/>
        <v>1.2035993489999999</v>
      </c>
      <c r="K27" s="169">
        <v>0.108001297</v>
      </c>
      <c r="L27" s="129"/>
      <c r="M27" s="128">
        <f t="shared" si="8"/>
        <v>1.3116006459999998</v>
      </c>
      <c r="N27" s="129">
        <f t="shared" si="9"/>
        <v>3.9137786619999995</v>
      </c>
      <c r="O27" s="129">
        <f t="shared" si="10"/>
        <v>3.805777365</v>
      </c>
    </row>
    <row r="28" spans="2:16" ht="15" x14ac:dyDescent="0.2">
      <c r="B28" s="152">
        <v>4</v>
      </c>
      <c r="C28" s="153" t="s">
        <v>332</v>
      </c>
      <c r="D28" s="154">
        <v>1300</v>
      </c>
      <c r="E28" s="130"/>
      <c r="F28" s="129">
        <f t="shared" si="5"/>
        <v>260.66502128499997</v>
      </c>
      <c r="G28" s="129"/>
      <c r="H28" s="129"/>
      <c r="I28" s="128">
        <f t="shared" si="7"/>
        <v>260.66502128499997</v>
      </c>
      <c r="J28" s="129">
        <f t="shared" si="6"/>
        <v>52.210739757999988</v>
      </c>
      <c r="K28" s="169">
        <v>4.2621309270000021</v>
      </c>
      <c r="L28" s="129"/>
      <c r="M28" s="128">
        <f t="shared" si="8"/>
        <v>56.47287068499999</v>
      </c>
      <c r="N28" s="129">
        <f t="shared" si="9"/>
        <v>208.45428152699998</v>
      </c>
      <c r="O28" s="129">
        <f t="shared" si="10"/>
        <v>204.19215059999999</v>
      </c>
    </row>
    <row r="29" spans="2:16" ht="15" x14ac:dyDescent="0.2">
      <c r="B29" s="152">
        <v>5</v>
      </c>
      <c r="C29" s="153" t="s">
        <v>333</v>
      </c>
      <c r="D29" s="154">
        <v>1500</v>
      </c>
      <c r="E29" s="130"/>
      <c r="F29" s="129">
        <f t="shared" si="5"/>
        <v>3.7370239119999997</v>
      </c>
      <c r="G29" s="129"/>
      <c r="H29" s="129"/>
      <c r="I29" s="128">
        <f t="shared" si="7"/>
        <v>3.7370239119999997</v>
      </c>
      <c r="J29" s="129">
        <f t="shared" si="6"/>
        <v>0.80230118699999997</v>
      </c>
      <c r="K29" s="169">
        <v>0.18435523400000001</v>
      </c>
      <c r="L29" s="129"/>
      <c r="M29" s="128">
        <f t="shared" si="8"/>
        <v>0.98665642099999995</v>
      </c>
      <c r="N29" s="129">
        <f t="shared" si="9"/>
        <v>2.9347227249999999</v>
      </c>
      <c r="O29" s="129">
        <f t="shared" si="10"/>
        <v>2.7503674909999996</v>
      </c>
    </row>
    <row r="30" spans="2:16" ht="15" x14ac:dyDescent="0.2">
      <c r="B30" s="152">
        <v>6</v>
      </c>
      <c r="C30" s="153" t="s">
        <v>334</v>
      </c>
      <c r="D30" s="154">
        <v>1600</v>
      </c>
      <c r="E30" s="130"/>
      <c r="F30" s="129">
        <f t="shared" si="5"/>
        <v>163.61140957200001</v>
      </c>
      <c r="G30" s="129"/>
      <c r="H30" s="129"/>
      <c r="I30" s="128">
        <f t="shared" si="7"/>
        <v>163.61140957200001</v>
      </c>
      <c r="J30" s="129">
        <f t="shared" si="6"/>
        <v>37.042380778000002</v>
      </c>
      <c r="K30" s="169">
        <v>4.3436476520000005</v>
      </c>
      <c r="L30" s="129"/>
      <c r="M30" s="128">
        <f t="shared" si="8"/>
        <v>41.386028430000003</v>
      </c>
      <c r="N30" s="129">
        <f t="shared" si="9"/>
        <v>126.56902879400002</v>
      </c>
      <c r="O30" s="129">
        <f t="shared" si="10"/>
        <v>122.225381142</v>
      </c>
    </row>
    <row r="31" spans="2:16" ht="15" x14ac:dyDescent="0.2">
      <c r="B31" s="152">
        <v>7</v>
      </c>
      <c r="C31" s="153" t="s">
        <v>335</v>
      </c>
      <c r="D31" s="154">
        <v>1700</v>
      </c>
      <c r="E31" s="130"/>
      <c r="F31" s="129">
        <f t="shared" si="5"/>
        <v>0.68049910000000002</v>
      </c>
      <c r="G31" s="129"/>
      <c r="H31" s="129"/>
      <c r="I31" s="128">
        <f t="shared" si="7"/>
        <v>0.68049910000000002</v>
      </c>
      <c r="J31" s="129">
        <f t="shared" si="6"/>
        <v>0.61244919000000009</v>
      </c>
      <c r="K31" s="169">
        <v>0</v>
      </c>
      <c r="L31" s="129"/>
      <c r="M31" s="128">
        <f t="shared" si="8"/>
        <v>0.61244919000000009</v>
      </c>
      <c r="N31" s="129">
        <f t="shared" si="9"/>
        <v>6.8049909999999936E-2</v>
      </c>
      <c r="O31" s="129">
        <f t="shared" si="10"/>
        <v>6.8049909999999936E-2</v>
      </c>
    </row>
    <row r="32" spans="2:16" ht="15" x14ac:dyDescent="0.2">
      <c r="B32" s="152">
        <v>8</v>
      </c>
      <c r="C32" s="153" t="s">
        <v>336</v>
      </c>
      <c r="D32" s="154">
        <v>1800</v>
      </c>
      <c r="E32" s="130"/>
      <c r="F32" s="129">
        <f t="shared" si="5"/>
        <v>0.62565425399999997</v>
      </c>
      <c r="G32" s="129"/>
      <c r="H32" s="129"/>
      <c r="I32" s="128">
        <f t="shared" si="7"/>
        <v>0.62565425399999997</v>
      </c>
      <c r="J32" s="129">
        <f t="shared" si="6"/>
        <v>0.40397274599999999</v>
      </c>
      <c r="K32" s="169">
        <v>5.6790764000000001E-2</v>
      </c>
      <c r="L32" s="129"/>
      <c r="M32" s="128">
        <f t="shared" si="8"/>
        <v>0.46076350999999999</v>
      </c>
      <c r="N32" s="129">
        <f t="shared" si="9"/>
        <v>0.22168150799999997</v>
      </c>
      <c r="O32" s="129">
        <f t="shared" si="10"/>
        <v>0.16489074399999998</v>
      </c>
    </row>
    <row r="33" spans="2:15" ht="15" x14ac:dyDescent="0.2">
      <c r="B33" s="152">
        <v>9</v>
      </c>
      <c r="C33" s="153" t="s">
        <v>303</v>
      </c>
      <c r="D33" s="154">
        <v>1900</v>
      </c>
      <c r="E33" s="130"/>
      <c r="F33" s="129">
        <f t="shared" si="5"/>
        <v>0.27048228800000002</v>
      </c>
      <c r="G33" s="129"/>
      <c r="H33" s="129"/>
      <c r="I33" s="128">
        <f t="shared" si="7"/>
        <v>0.27048228800000002</v>
      </c>
      <c r="J33" s="129">
        <f t="shared" si="6"/>
        <v>0.25388249000000002</v>
      </c>
      <c r="K33" s="169">
        <v>3.2412565000000004E-2</v>
      </c>
      <c r="L33" s="129"/>
      <c r="M33" s="128">
        <f t="shared" si="8"/>
        <v>0.28629505500000002</v>
      </c>
      <c r="N33" s="129">
        <f t="shared" si="9"/>
        <v>1.6599797999999999E-2</v>
      </c>
      <c r="O33" s="129">
        <f t="shared" si="10"/>
        <v>-1.5812767000000005E-2</v>
      </c>
    </row>
    <row r="34" spans="2:15" ht="15" x14ac:dyDescent="0.2">
      <c r="B34" s="152">
        <v>10</v>
      </c>
      <c r="C34" s="153" t="s">
        <v>337</v>
      </c>
      <c r="D34" s="154">
        <v>2100</v>
      </c>
      <c r="E34" s="130"/>
      <c r="F34" s="129">
        <f t="shared" si="5"/>
        <v>0.26074039500000001</v>
      </c>
      <c r="G34" s="129"/>
      <c r="H34" s="129"/>
      <c r="I34" s="128">
        <f t="shared" si="7"/>
        <v>0.26074039500000001</v>
      </c>
      <c r="J34" s="129">
        <f t="shared" si="6"/>
        <v>0.18953624699999999</v>
      </c>
      <c r="K34" s="169">
        <v>3.8346003999999996E-2</v>
      </c>
      <c r="L34" s="129"/>
      <c r="M34" s="128">
        <f t="shared" si="8"/>
        <v>0.22788225099999998</v>
      </c>
      <c r="N34" s="129">
        <f t="shared" si="9"/>
        <v>7.1204148000000023E-2</v>
      </c>
      <c r="O34" s="129">
        <f t="shared" si="10"/>
        <v>3.2858144000000034E-2</v>
      </c>
    </row>
    <row r="35" spans="2:15" s="48" customFormat="1" ht="15.75" thickBot="1" x14ac:dyDescent="0.25">
      <c r="B35" s="140"/>
      <c r="C35" s="141" t="s">
        <v>123</v>
      </c>
      <c r="D35" s="141"/>
      <c r="E35" s="138">
        <f>IFERROR((K35-L35)/AVERAGE(F35,I35),0)</f>
        <v>2.0736908975406119E-2</v>
      </c>
      <c r="F35" s="137">
        <f>ROUND(SUM(F25:F34),2)</f>
        <v>440.76</v>
      </c>
      <c r="G35" s="137">
        <f t="shared" ref="G35:O35" si="11">ROUND(SUM(G25:G34),2)</f>
        <v>0</v>
      </c>
      <c r="H35" s="137">
        <f t="shared" si="11"/>
        <v>0</v>
      </c>
      <c r="I35" s="137">
        <f t="shared" si="11"/>
        <v>440.76</v>
      </c>
      <c r="J35" s="137">
        <f t="shared" si="11"/>
        <v>94.96</v>
      </c>
      <c r="K35" s="137">
        <f t="shared" si="11"/>
        <v>9.14</v>
      </c>
      <c r="L35" s="137">
        <f t="shared" si="11"/>
        <v>0</v>
      </c>
      <c r="M35" s="137">
        <f t="shared" si="11"/>
        <v>104.1</v>
      </c>
      <c r="N35" s="137">
        <f t="shared" si="11"/>
        <v>345.8</v>
      </c>
      <c r="O35" s="137">
        <f t="shared" si="11"/>
        <v>336.66</v>
      </c>
    </row>
    <row r="36" spans="2:15" ht="15" thickBot="1" x14ac:dyDescent="0.25">
      <c r="K36" s="139"/>
    </row>
    <row r="37" spans="2:15" ht="15" x14ac:dyDescent="0.2">
      <c r="B37" s="234" t="s">
        <v>326</v>
      </c>
      <c r="C37" s="235"/>
      <c r="D37" s="235"/>
      <c r="E37" s="235"/>
      <c r="F37" s="235"/>
      <c r="G37" s="235"/>
      <c r="H37" s="235"/>
      <c r="I37" s="235"/>
      <c r="J37" s="235"/>
      <c r="K37" s="235"/>
      <c r="L37" s="235"/>
      <c r="M37" s="235"/>
      <c r="N37" s="235"/>
      <c r="O37" s="236"/>
    </row>
    <row r="38" spans="2:15" ht="15" x14ac:dyDescent="0.2">
      <c r="B38" s="237" t="s">
        <v>2</v>
      </c>
      <c r="C38" s="239" t="s">
        <v>231</v>
      </c>
      <c r="D38" s="232" t="s">
        <v>220</v>
      </c>
      <c r="E38" s="232" t="s">
        <v>221</v>
      </c>
      <c r="F38" s="232" t="s">
        <v>222</v>
      </c>
      <c r="G38" s="232"/>
      <c r="H38" s="232"/>
      <c r="I38" s="232"/>
      <c r="J38" s="232" t="s">
        <v>223</v>
      </c>
      <c r="K38" s="232"/>
      <c r="L38" s="232"/>
      <c r="M38" s="232"/>
      <c r="N38" s="232" t="s">
        <v>224</v>
      </c>
      <c r="O38" s="233"/>
    </row>
    <row r="39" spans="2:15" ht="60.75" thickBot="1" x14ac:dyDescent="0.25">
      <c r="B39" s="238"/>
      <c r="C39" s="240"/>
      <c r="D39" s="241"/>
      <c r="E39" s="241"/>
      <c r="F39" s="63" t="s">
        <v>225</v>
      </c>
      <c r="G39" s="63" t="s">
        <v>122</v>
      </c>
      <c r="H39" s="63" t="s">
        <v>226</v>
      </c>
      <c r="I39" s="63" t="s">
        <v>227</v>
      </c>
      <c r="J39" s="63" t="s">
        <v>228</v>
      </c>
      <c r="K39" s="63" t="s">
        <v>122</v>
      </c>
      <c r="L39" s="63" t="s">
        <v>229</v>
      </c>
      <c r="M39" s="63" t="s">
        <v>230</v>
      </c>
      <c r="N39" s="63" t="s">
        <v>225</v>
      </c>
      <c r="O39" s="64" t="s">
        <v>227</v>
      </c>
    </row>
    <row r="40" spans="2:15" ht="15" x14ac:dyDescent="0.2">
      <c r="B40" s="152">
        <v>1</v>
      </c>
      <c r="C40" s="153" t="s">
        <v>329</v>
      </c>
      <c r="D40" s="154">
        <v>1000</v>
      </c>
      <c r="E40" s="127">
        <v>0</v>
      </c>
      <c r="F40" s="129">
        <f t="shared" ref="F40:F49" si="12">I25</f>
        <v>0.77542999999999995</v>
      </c>
      <c r="G40" s="129"/>
      <c r="H40" s="129"/>
      <c r="I40" s="128">
        <f>F40+G40+H40</f>
        <v>0.77542999999999995</v>
      </c>
      <c r="J40" s="129">
        <f t="shared" ref="J40:J49" si="13">M25</f>
        <v>0</v>
      </c>
      <c r="K40" s="169">
        <v>0</v>
      </c>
      <c r="L40" s="129"/>
      <c r="M40" s="128">
        <f>J40+K40+L40</f>
        <v>0</v>
      </c>
      <c r="N40" s="129">
        <f>+F40-J40</f>
        <v>0.77542999999999995</v>
      </c>
      <c r="O40" s="129">
        <f>+I40-M40</f>
        <v>0.77542999999999995</v>
      </c>
    </row>
    <row r="41" spans="2:15" ht="15" x14ac:dyDescent="0.2">
      <c r="B41" s="152">
        <v>2</v>
      </c>
      <c r="C41" s="153" t="s">
        <v>330</v>
      </c>
      <c r="D41" s="154">
        <v>1100</v>
      </c>
      <c r="E41" s="127"/>
      <c r="F41" s="129">
        <f t="shared" si="12"/>
        <v>5.0163611829999999</v>
      </c>
      <c r="G41" s="129"/>
      <c r="H41" s="129"/>
      <c r="I41" s="128">
        <f t="shared" ref="I41:I49" si="14">F41+G41+H41</f>
        <v>5.0163611829999999</v>
      </c>
      <c r="J41" s="129">
        <f t="shared" si="13"/>
        <v>2.3554538119999999</v>
      </c>
      <c r="K41" s="169">
        <v>0.11431555700000001</v>
      </c>
      <c r="L41" s="129"/>
      <c r="M41" s="128">
        <f t="shared" ref="M41:M49" si="15">J41+K41+L41</f>
        <v>2.4697693689999998</v>
      </c>
      <c r="N41" s="129">
        <f t="shared" ref="N41:N49" si="16">+F41-J41</f>
        <v>2.660907371</v>
      </c>
      <c r="O41" s="129">
        <f t="shared" ref="O41:O49" si="17">+I41-M41</f>
        <v>2.5465918140000001</v>
      </c>
    </row>
    <row r="42" spans="2:15" ht="15" x14ac:dyDescent="0.2">
      <c r="B42" s="152">
        <v>3</v>
      </c>
      <c r="C42" s="153" t="s">
        <v>331</v>
      </c>
      <c r="D42" s="154">
        <v>1200</v>
      </c>
      <c r="E42" s="130"/>
      <c r="F42" s="129">
        <f t="shared" si="12"/>
        <v>5.1173780109999996</v>
      </c>
      <c r="G42" s="129"/>
      <c r="H42" s="129"/>
      <c r="I42" s="128">
        <f t="shared" si="14"/>
        <v>5.1173780109999996</v>
      </c>
      <c r="J42" s="129">
        <f t="shared" si="13"/>
        <v>1.3116006459999998</v>
      </c>
      <c r="K42" s="169">
        <v>0.108001297</v>
      </c>
      <c r="L42" s="129"/>
      <c r="M42" s="128">
        <f t="shared" si="15"/>
        <v>1.4196019429999998</v>
      </c>
      <c r="N42" s="129">
        <f t="shared" si="16"/>
        <v>3.805777365</v>
      </c>
      <c r="O42" s="129">
        <f t="shared" si="17"/>
        <v>3.6977760679999996</v>
      </c>
    </row>
    <row r="43" spans="2:15" ht="15" x14ac:dyDescent="0.2">
      <c r="B43" s="152">
        <v>4</v>
      </c>
      <c r="C43" s="153" t="s">
        <v>332</v>
      </c>
      <c r="D43" s="154">
        <v>1300</v>
      </c>
      <c r="E43" s="130"/>
      <c r="F43" s="129">
        <f t="shared" si="12"/>
        <v>260.66502128499997</v>
      </c>
      <c r="G43" s="129"/>
      <c r="H43" s="129"/>
      <c r="I43" s="128">
        <f t="shared" si="14"/>
        <v>260.66502128499997</v>
      </c>
      <c r="J43" s="129">
        <f t="shared" si="13"/>
        <v>56.47287068499999</v>
      </c>
      <c r="K43" s="169">
        <v>4.2621309270000021</v>
      </c>
      <c r="L43" s="129"/>
      <c r="M43" s="128">
        <f t="shared" si="15"/>
        <v>60.735001611999991</v>
      </c>
      <c r="N43" s="129">
        <f t="shared" si="16"/>
        <v>204.19215059999999</v>
      </c>
      <c r="O43" s="129">
        <f t="shared" si="17"/>
        <v>199.93001967299998</v>
      </c>
    </row>
    <row r="44" spans="2:15" ht="15" x14ac:dyDescent="0.2">
      <c r="B44" s="152">
        <v>5</v>
      </c>
      <c r="C44" s="153" t="s">
        <v>333</v>
      </c>
      <c r="D44" s="154">
        <v>1500</v>
      </c>
      <c r="E44" s="130"/>
      <c r="F44" s="129">
        <f t="shared" si="12"/>
        <v>3.7370239119999997</v>
      </c>
      <c r="G44" s="129"/>
      <c r="H44" s="129"/>
      <c r="I44" s="128">
        <f t="shared" si="14"/>
        <v>3.7370239119999997</v>
      </c>
      <c r="J44" s="129">
        <f t="shared" si="13"/>
        <v>0.98665642099999995</v>
      </c>
      <c r="K44" s="169">
        <v>0.18435523400000001</v>
      </c>
      <c r="L44" s="129"/>
      <c r="M44" s="128">
        <f t="shared" si="15"/>
        <v>1.171011655</v>
      </c>
      <c r="N44" s="129">
        <f t="shared" si="16"/>
        <v>2.7503674909999996</v>
      </c>
      <c r="O44" s="129">
        <f t="shared" si="17"/>
        <v>2.5660122569999997</v>
      </c>
    </row>
    <row r="45" spans="2:15" ht="15" x14ac:dyDescent="0.2">
      <c r="B45" s="152">
        <v>6</v>
      </c>
      <c r="C45" s="153" t="s">
        <v>334</v>
      </c>
      <c r="D45" s="154">
        <v>1600</v>
      </c>
      <c r="E45" s="130"/>
      <c r="F45" s="129">
        <f t="shared" si="12"/>
        <v>163.61140957200001</v>
      </c>
      <c r="G45" s="129"/>
      <c r="H45" s="129"/>
      <c r="I45" s="128">
        <f t="shared" si="14"/>
        <v>163.61140957200001</v>
      </c>
      <c r="J45" s="129">
        <f t="shared" si="13"/>
        <v>41.386028430000003</v>
      </c>
      <c r="K45" s="169">
        <v>4.3436476520000005</v>
      </c>
      <c r="L45" s="129"/>
      <c r="M45" s="128">
        <f t="shared" si="15"/>
        <v>45.729676082000005</v>
      </c>
      <c r="N45" s="129">
        <f t="shared" si="16"/>
        <v>122.225381142</v>
      </c>
      <c r="O45" s="129">
        <f t="shared" si="17"/>
        <v>117.88173349000002</v>
      </c>
    </row>
    <row r="46" spans="2:15" ht="15" x14ac:dyDescent="0.2">
      <c r="B46" s="152">
        <v>7</v>
      </c>
      <c r="C46" s="153" t="s">
        <v>335</v>
      </c>
      <c r="D46" s="154">
        <v>1700</v>
      </c>
      <c r="E46" s="130"/>
      <c r="F46" s="129">
        <f t="shared" si="12"/>
        <v>0.68049910000000002</v>
      </c>
      <c r="G46" s="129"/>
      <c r="H46" s="129"/>
      <c r="I46" s="128">
        <f t="shared" si="14"/>
        <v>0.68049910000000002</v>
      </c>
      <c r="J46" s="129">
        <f t="shared" si="13"/>
        <v>0.61244919000000009</v>
      </c>
      <c r="K46" s="169">
        <v>0</v>
      </c>
      <c r="L46" s="129"/>
      <c r="M46" s="128">
        <f t="shared" si="15"/>
        <v>0.61244919000000009</v>
      </c>
      <c r="N46" s="129">
        <f t="shared" si="16"/>
        <v>6.8049909999999936E-2</v>
      </c>
      <c r="O46" s="129">
        <f t="shared" si="17"/>
        <v>6.8049909999999936E-2</v>
      </c>
    </row>
    <row r="47" spans="2:15" ht="15" x14ac:dyDescent="0.2">
      <c r="B47" s="152">
        <v>8</v>
      </c>
      <c r="C47" s="153" t="s">
        <v>336</v>
      </c>
      <c r="D47" s="154">
        <v>1800</v>
      </c>
      <c r="E47" s="130"/>
      <c r="F47" s="129">
        <f t="shared" si="12"/>
        <v>0.62565425399999997</v>
      </c>
      <c r="G47" s="129"/>
      <c r="H47" s="129"/>
      <c r="I47" s="128">
        <f t="shared" si="14"/>
        <v>0.62565425399999997</v>
      </c>
      <c r="J47" s="129">
        <f t="shared" si="13"/>
        <v>0.46076350999999999</v>
      </c>
      <c r="K47" s="169">
        <v>5.6790764000000001E-2</v>
      </c>
      <c r="L47" s="129"/>
      <c r="M47" s="128">
        <f t="shared" si="15"/>
        <v>0.51755427399999998</v>
      </c>
      <c r="N47" s="129">
        <f t="shared" si="16"/>
        <v>0.16489074399999998</v>
      </c>
      <c r="O47" s="129">
        <f t="shared" si="17"/>
        <v>0.10809997999999998</v>
      </c>
    </row>
    <row r="48" spans="2:15" ht="15" x14ac:dyDescent="0.2">
      <c r="B48" s="152">
        <v>9</v>
      </c>
      <c r="C48" s="153" t="s">
        <v>303</v>
      </c>
      <c r="D48" s="154">
        <v>1900</v>
      </c>
      <c r="E48" s="130"/>
      <c r="F48" s="129">
        <f t="shared" si="12"/>
        <v>0.27048228800000002</v>
      </c>
      <c r="G48" s="129"/>
      <c r="H48" s="129"/>
      <c r="I48" s="128">
        <f t="shared" si="14"/>
        <v>0.27048228800000002</v>
      </c>
      <c r="J48" s="129">
        <f t="shared" si="13"/>
        <v>0.28629505500000002</v>
      </c>
      <c r="K48" s="169">
        <v>3.2412565000000004E-2</v>
      </c>
      <c r="L48" s="129"/>
      <c r="M48" s="128">
        <f t="shared" si="15"/>
        <v>0.31870762000000002</v>
      </c>
      <c r="N48" s="129">
        <f t="shared" si="16"/>
        <v>-1.5812767000000005E-2</v>
      </c>
      <c r="O48" s="129">
        <f t="shared" si="17"/>
        <v>-4.822533200000001E-2</v>
      </c>
    </row>
    <row r="49" spans="2:15" ht="15" x14ac:dyDescent="0.2">
      <c r="B49" s="152">
        <v>10</v>
      </c>
      <c r="C49" s="153" t="s">
        <v>337</v>
      </c>
      <c r="D49" s="154">
        <v>2100</v>
      </c>
      <c r="E49" s="130"/>
      <c r="F49" s="129">
        <f t="shared" si="12"/>
        <v>0.26074039500000001</v>
      </c>
      <c r="G49" s="129"/>
      <c r="H49" s="129"/>
      <c r="I49" s="128">
        <f t="shared" si="14"/>
        <v>0.26074039500000001</v>
      </c>
      <c r="J49" s="129">
        <f t="shared" si="13"/>
        <v>0.22788225099999998</v>
      </c>
      <c r="K49" s="169">
        <v>3.8346003999999996E-2</v>
      </c>
      <c r="L49" s="129"/>
      <c r="M49" s="128">
        <f t="shared" si="15"/>
        <v>0.26622825499999997</v>
      </c>
      <c r="N49" s="129">
        <f t="shared" si="16"/>
        <v>3.2858144000000034E-2</v>
      </c>
      <c r="O49" s="129">
        <f t="shared" si="17"/>
        <v>-5.4878599999999556E-3</v>
      </c>
    </row>
    <row r="50" spans="2:15" s="48" customFormat="1" ht="15.75" thickBot="1" x14ac:dyDescent="0.25">
      <c r="B50" s="140"/>
      <c r="C50" s="141" t="s">
        <v>123</v>
      </c>
      <c r="D50" s="141"/>
      <c r="E50" s="138">
        <f>IFERROR((K50-L50)/AVERAGE(F50,I50),0)</f>
        <v>2.0736908975406119E-2</v>
      </c>
      <c r="F50" s="137">
        <f>ROUND(SUM(F40:F49),2)</f>
        <v>440.76</v>
      </c>
      <c r="G50" s="137">
        <f t="shared" ref="G50:O50" si="18">ROUND(SUM(G40:G49),2)</f>
        <v>0</v>
      </c>
      <c r="H50" s="137">
        <f t="shared" si="18"/>
        <v>0</v>
      </c>
      <c r="I50" s="137">
        <f t="shared" si="18"/>
        <v>440.76</v>
      </c>
      <c r="J50" s="137">
        <f t="shared" si="18"/>
        <v>104.1</v>
      </c>
      <c r="K50" s="137">
        <f t="shared" si="18"/>
        <v>9.14</v>
      </c>
      <c r="L50" s="137">
        <f t="shared" si="18"/>
        <v>0</v>
      </c>
      <c r="M50" s="137">
        <f t="shared" si="18"/>
        <v>113.24</v>
      </c>
      <c r="N50" s="137">
        <f t="shared" si="18"/>
        <v>336.66</v>
      </c>
      <c r="O50" s="137">
        <f t="shared" si="18"/>
        <v>327.52</v>
      </c>
    </row>
  </sheetData>
  <mergeCells count="24">
    <mergeCell ref="B37:O37"/>
    <mergeCell ref="B38:B39"/>
    <mergeCell ref="C38:C39"/>
    <mergeCell ref="D38:D39"/>
    <mergeCell ref="E38:E39"/>
    <mergeCell ref="F38:I38"/>
    <mergeCell ref="J38:M38"/>
    <mergeCell ref="N38:O38"/>
    <mergeCell ref="B22:O22"/>
    <mergeCell ref="B23:B24"/>
    <mergeCell ref="C23:C24"/>
    <mergeCell ref="D23:D24"/>
    <mergeCell ref="E23:E24"/>
    <mergeCell ref="F23:I23"/>
    <mergeCell ref="J23:M23"/>
    <mergeCell ref="N23:O23"/>
    <mergeCell ref="J8:M8"/>
    <mergeCell ref="N8:O8"/>
    <mergeCell ref="B7:O7"/>
    <mergeCell ref="B8:B9"/>
    <mergeCell ref="C8:C9"/>
    <mergeCell ref="D8:D9"/>
    <mergeCell ref="E8:E9"/>
    <mergeCell ref="F8:I8"/>
  </mergeCells>
  <pageMargins left="0.27" right="0.25" top="0.25" bottom="0.25" header="0.25" footer="0.25"/>
  <pageSetup paperSize="9" scale="88" fitToHeight="0" orientation="landscape" r:id="rId1"/>
  <headerFooter alignWithMargins="0"/>
  <rowBreaks count="1" manualBreakCount="1">
    <brk id="20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22"/>
  <sheetViews>
    <sheetView topLeftCell="A6" zoomScale="98" zoomScaleNormal="98" zoomScaleSheetLayoutView="90" workbookViewId="0">
      <selection activeCell="D25" sqref="D25"/>
    </sheetView>
  </sheetViews>
  <sheetFormatPr defaultColWidth="9.28515625" defaultRowHeight="14.25" x14ac:dyDescent="0.2"/>
  <cols>
    <col min="1" max="1" width="2.7109375" style="5" customWidth="1"/>
    <col min="2" max="2" width="6.28515625" style="5" customWidth="1"/>
    <col min="3" max="3" width="56.7109375" style="5" customWidth="1"/>
    <col min="4" max="4" width="13.7109375" style="5" bestFit="1" customWidth="1"/>
    <col min="5" max="5" width="12.5703125" style="5" bestFit="1" customWidth="1"/>
    <col min="6" max="6" width="13.42578125" style="5" bestFit="1" customWidth="1"/>
    <col min="7" max="7" width="13.7109375" style="5" bestFit="1" customWidth="1"/>
    <col min="8" max="9" width="12.5703125" style="5" customWidth="1"/>
    <col min="10" max="13" width="11.7109375" style="5" bestFit="1" customWidth="1"/>
    <col min="14" max="16384" width="9.28515625" style="5"/>
  </cols>
  <sheetData>
    <row r="1" spans="2:10" ht="15" x14ac:dyDescent="0.2">
      <c r="E1" s="32" t="s">
        <v>298</v>
      </c>
    </row>
    <row r="2" spans="2:10" ht="15" x14ac:dyDescent="0.2">
      <c r="E2" s="32" t="str">
        <f>'F1'!$F$3</f>
        <v>Pulichinthala HES</v>
      </c>
    </row>
    <row r="3" spans="2:10" ht="15" x14ac:dyDescent="0.2">
      <c r="E3" s="35" t="s">
        <v>240</v>
      </c>
    </row>
    <row r="4" spans="2:10" ht="15" x14ac:dyDescent="0.2">
      <c r="B4" s="33" t="s">
        <v>41</v>
      </c>
      <c r="C4" s="24" t="s">
        <v>241</v>
      </c>
      <c r="J4" s="26" t="s">
        <v>4</v>
      </c>
    </row>
    <row r="5" spans="2:10" s="13" customFormat="1" ht="15" customHeight="1" x14ac:dyDescent="0.2">
      <c r="B5" s="214" t="s">
        <v>164</v>
      </c>
      <c r="C5" s="217" t="s">
        <v>14</v>
      </c>
      <c r="D5" s="221" t="s">
        <v>299</v>
      </c>
      <c r="E5" s="222"/>
      <c r="F5" s="223"/>
      <c r="G5" s="219" t="s">
        <v>300</v>
      </c>
      <c r="H5" s="219"/>
      <c r="I5" s="242" t="s">
        <v>326</v>
      </c>
      <c r="J5" s="243"/>
    </row>
    <row r="6" spans="2:10" s="13" customFormat="1" ht="45" x14ac:dyDescent="0.2">
      <c r="B6" s="215"/>
      <c r="C6" s="217"/>
      <c r="D6" s="15" t="s">
        <v>271</v>
      </c>
      <c r="E6" s="15" t="s">
        <v>206</v>
      </c>
      <c r="F6" s="15" t="s">
        <v>178</v>
      </c>
      <c r="G6" s="15" t="s">
        <v>271</v>
      </c>
      <c r="H6" s="15" t="s">
        <v>205</v>
      </c>
      <c r="I6" s="15" t="s">
        <v>271</v>
      </c>
      <c r="J6" s="15" t="s">
        <v>205</v>
      </c>
    </row>
    <row r="7" spans="2:10" s="13" customFormat="1" ht="30" x14ac:dyDescent="0.2">
      <c r="B7" s="216"/>
      <c r="C7" s="218"/>
      <c r="D7" s="15" t="s">
        <v>10</v>
      </c>
      <c r="E7" s="15" t="s">
        <v>12</v>
      </c>
      <c r="F7" s="15" t="s">
        <v>197</v>
      </c>
      <c r="G7" s="15" t="s">
        <v>10</v>
      </c>
      <c r="H7" s="15" t="s">
        <v>322</v>
      </c>
      <c r="I7" s="15" t="s">
        <v>10</v>
      </c>
      <c r="J7" s="15" t="s">
        <v>322</v>
      </c>
    </row>
    <row r="8" spans="2:10" x14ac:dyDescent="0.2">
      <c r="B8" s="60">
        <v>1</v>
      </c>
      <c r="C8" s="27" t="s">
        <v>148</v>
      </c>
      <c r="D8" s="2"/>
      <c r="E8" s="100">
        <f>'F4'!F20*70%</f>
        <v>308.53199999999998</v>
      </c>
      <c r="F8" s="100">
        <f>E8</f>
        <v>308.53199999999998</v>
      </c>
      <c r="G8" s="21"/>
      <c r="H8" s="94">
        <f>E8+E12</f>
        <v>308.53199999999998</v>
      </c>
      <c r="I8" s="21"/>
      <c r="J8" s="94">
        <f>H8+H12</f>
        <v>308.53199999999998</v>
      </c>
    </row>
    <row r="9" spans="2:10" x14ac:dyDescent="0.2">
      <c r="B9" s="20">
        <f>B8+1</f>
        <v>2</v>
      </c>
      <c r="C9" s="27" t="s">
        <v>149</v>
      </c>
      <c r="D9" s="2"/>
      <c r="E9" s="100">
        <f>'F4'!J20</f>
        <v>85.82</v>
      </c>
      <c r="F9" s="100">
        <f>E9</f>
        <v>85.82</v>
      </c>
      <c r="G9" s="94"/>
      <c r="H9" s="94">
        <f>F9+F13</f>
        <v>94.96</v>
      </c>
      <c r="I9" s="21"/>
      <c r="J9" s="94">
        <f>H9+H13</f>
        <v>104.1</v>
      </c>
    </row>
    <row r="10" spans="2:10" ht="15" x14ac:dyDescent="0.2">
      <c r="B10" s="20">
        <f t="shared" ref="B10:B20" si="0">B9+1</f>
        <v>3</v>
      </c>
      <c r="C10" s="29" t="s">
        <v>150</v>
      </c>
      <c r="D10" s="97">
        <f>D8-D9</f>
        <v>0</v>
      </c>
      <c r="E10" s="97">
        <f>IF((E8-E9)&lt;0,0,(E8-E9))</f>
        <v>222.71199999999999</v>
      </c>
      <c r="F10" s="97">
        <f>IF((F8-F9)&lt;0,0,(F8-F9))</f>
        <v>222.71199999999999</v>
      </c>
      <c r="G10" s="97">
        <f>IF((G8-G9)&lt;0,0,(G8-G9))</f>
        <v>0</v>
      </c>
      <c r="H10" s="97">
        <f>IF((H8-H9)&lt;0,0,(H8-H9))</f>
        <v>213.572</v>
      </c>
      <c r="I10" s="97"/>
      <c r="J10" s="97">
        <f>IF((J8-J9)&lt;0,0,(J8-J9))</f>
        <v>204.43199999999999</v>
      </c>
    </row>
    <row r="11" spans="2:10" ht="28.5" x14ac:dyDescent="0.2">
      <c r="B11" s="20">
        <f t="shared" si="0"/>
        <v>4</v>
      </c>
      <c r="C11" s="66" t="s">
        <v>151</v>
      </c>
      <c r="D11" s="99"/>
      <c r="E11" s="99"/>
      <c r="F11" s="99"/>
      <c r="G11" s="99"/>
      <c r="H11" s="99"/>
      <c r="I11" s="99"/>
      <c r="J11" s="99"/>
    </row>
    <row r="12" spans="2:10" s="32" customFormat="1" ht="28.5" x14ac:dyDescent="0.2">
      <c r="B12" s="20">
        <f t="shared" si="0"/>
        <v>5</v>
      </c>
      <c r="C12" s="37" t="s">
        <v>295</v>
      </c>
      <c r="D12" s="99"/>
      <c r="E12" s="105">
        <f>'F3'!E11*75%</f>
        <v>0</v>
      </c>
      <c r="F12" s="105">
        <f>'F3'!F11*75%</f>
        <v>0</v>
      </c>
      <c r="G12" s="105">
        <f>'F3'!G11*75%</f>
        <v>0</v>
      </c>
      <c r="H12" s="105">
        <f>'F3'!H11*75%</f>
        <v>0</v>
      </c>
      <c r="I12" s="105">
        <f>'F3'!I11*75%</f>
        <v>0</v>
      </c>
      <c r="J12" s="105">
        <f>'F3'!J11*75%</f>
        <v>0</v>
      </c>
    </row>
    <row r="13" spans="2:10" x14ac:dyDescent="0.2">
      <c r="B13" s="20">
        <f t="shared" si="0"/>
        <v>6</v>
      </c>
      <c r="C13" s="66" t="s">
        <v>156</v>
      </c>
      <c r="D13" s="113"/>
      <c r="E13" s="113">
        <f>'F1'!G11</f>
        <v>9.14</v>
      </c>
      <c r="F13" s="113">
        <f>'F1'!H11</f>
        <v>9.14</v>
      </c>
      <c r="G13" s="113">
        <f>'F1'!I11</f>
        <v>10.220000000000001</v>
      </c>
      <c r="H13" s="113">
        <f>'F1'!J11</f>
        <v>9.14</v>
      </c>
      <c r="I13" s="113">
        <f>'F1'!K11</f>
        <v>10.220000000000001</v>
      </c>
      <c r="J13" s="113">
        <f>'F1'!L11</f>
        <v>9.14</v>
      </c>
    </row>
    <row r="14" spans="2:10" ht="15" x14ac:dyDescent="0.2">
      <c r="B14" s="20">
        <f t="shared" si="0"/>
        <v>7</v>
      </c>
      <c r="C14" s="27" t="s">
        <v>152</v>
      </c>
      <c r="D14" s="97"/>
      <c r="E14" s="97">
        <f>IF((E10-E11+E12-E13)&lt;0,0,(E10-E11+E12-E13))</f>
        <v>213.572</v>
      </c>
      <c r="F14" s="97">
        <f>IF((F10-F11+F12-F13)&lt;0,0,(F10-F11+F12-F13))</f>
        <v>213.572</v>
      </c>
      <c r="G14" s="97"/>
      <c r="H14" s="97">
        <f>IF((H10-H11+H12-H13)&lt;0,0,(H10-H11+H12-H13))</f>
        <v>204.43200000000002</v>
      </c>
      <c r="I14" s="97"/>
      <c r="J14" s="97">
        <f>IF((J10-J11+J12-J13)&lt;0,0,(J10-J11+J12-J13))</f>
        <v>195.29199999999997</v>
      </c>
    </row>
    <row r="15" spans="2:10" ht="15" x14ac:dyDescent="0.2">
      <c r="B15" s="20">
        <f t="shared" si="0"/>
        <v>8</v>
      </c>
      <c r="C15" s="27" t="s">
        <v>153</v>
      </c>
      <c r="D15" s="97"/>
      <c r="E15" s="97">
        <f t="shared" ref="E15:J15" si="1">E8-E11+E12-E13</f>
        <v>299.392</v>
      </c>
      <c r="F15" s="97">
        <f t="shared" si="1"/>
        <v>299.392</v>
      </c>
      <c r="G15" s="97"/>
      <c r="H15" s="97">
        <f t="shared" si="1"/>
        <v>299.392</v>
      </c>
      <c r="I15" s="97"/>
      <c r="J15" s="97">
        <f t="shared" si="1"/>
        <v>299.392</v>
      </c>
    </row>
    <row r="16" spans="2:10" ht="15" x14ac:dyDescent="0.2">
      <c r="B16" s="20">
        <f t="shared" si="0"/>
        <v>9</v>
      </c>
      <c r="C16" s="27" t="s">
        <v>182</v>
      </c>
      <c r="D16" s="97"/>
      <c r="E16" s="97">
        <f t="shared" ref="E16:J16" si="2">AVERAGE(E10,E14)</f>
        <v>218.142</v>
      </c>
      <c r="F16" s="97">
        <f t="shared" si="2"/>
        <v>218.142</v>
      </c>
      <c r="G16" s="97"/>
      <c r="H16" s="97">
        <f t="shared" si="2"/>
        <v>209.00200000000001</v>
      </c>
      <c r="I16" s="97"/>
      <c r="J16" s="97">
        <f t="shared" si="2"/>
        <v>199.86199999999997</v>
      </c>
    </row>
    <row r="17" spans="2:10" x14ac:dyDescent="0.2">
      <c r="B17" s="20">
        <f t="shared" si="0"/>
        <v>10</v>
      </c>
      <c r="C17" s="66" t="s">
        <v>181</v>
      </c>
      <c r="D17" s="98"/>
      <c r="E17" s="98">
        <v>0.1056</v>
      </c>
      <c r="F17" s="98">
        <f>E17</f>
        <v>0.1056</v>
      </c>
      <c r="G17" s="98"/>
      <c r="H17" s="98">
        <v>0.1056</v>
      </c>
      <c r="I17" s="98"/>
      <c r="J17" s="98">
        <v>0.1056</v>
      </c>
    </row>
    <row r="18" spans="2:10" ht="15" x14ac:dyDescent="0.2">
      <c r="B18" s="20">
        <f t="shared" si="0"/>
        <v>11</v>
      </c>
      <c r="C18" s="27" t="s">
        <v>242</v>
      </c>
      <c r="D18" s="97"/>
      <c r="E18" s="97">
        <f>ROUND(E16*E17,2)</f>
        <v>23.04</v>
      </c>
      <c r="F18" s="97">
        <f t="shared" ref="F18:J18" si="3">ROUND(F16*F17,2)</f>
        <v>23.04</v>
      </c>
      <c r="G18" s="97">
        <f t="shared" si="3"/>
        <v>0</v>
      </c>
      <c r="H18" s="97">
        <f t="shared" si="3"/>
        <v>22.07</v>
      </c>
      <c r="I18" s="97">
        <f t="shared" si="3"/>
        <v>0</v>
      </c>
      <c r="J18" s="97">
        <f t="shared" si="3"/>
        <v>21.11</v>
      </c>
    </row>
    <row r="19" spans="2:10" x14ac:dyDescent="0.2">
      <c r="B19" s="20">
        <f t="shared" si="0"/>
        <v>12</v>
      </c>
      <c r="C19" s="27" t="s">
        <v>243</v>
      </c>
      <c r="D19" s="67"/>
      <c r="E19" s="67"/>
      <c r="F19" s="67"/>
      <c r="G19" s="67"/>
      <c r="H19" s="67"/>
      <c r="I19" s="67"/>
      <c r="J19" s="67"/>
    </row>
    <row r="20" spans="2:10" ht="15" x14ac:dyDescent="0.2">
      <c r="B20" s="20">
        <f t="shared" si="0"/>
        <v>13</v>
      </c>
      <c r="C20" s="27" t="s">
        <v>244</v>
      </c>
      <c r="D20" s="97">
        <v>19.21</v>
      </c>
      <c r="E20" s="97">
        <f>IF((E18+E19)&lt;0,0,(E18+E19))</f>
        <v>23.04</v>
      </c>
      <c r="F20" s="97">
        <f>IF((F18+F19)&lt;0,0,(F18+F19))</f>
        <v>23.04</v>
      </c>
      <c r="G20" s="97">
        <v>18.45</v>
      </c>
      <c r="H20" s="97">
        <f>IF((H18+H19)&lt;0,0,(H18+H19))</f>
        <v>22.07</v>
      </c>
      <c r="I20" s="97">
        <v>16.82</v>
      </c>
      <c r="J20" s="97">
        <f>IF((J18+J19)&lt;0,0,(J18+J19))</f>
        <v>21.11</v>
      </c>
    </row>
    <row r="21" spans="2:10" x14ac:dyDescent="0.2">
      <c r="B21" s="34"/>
      <c r="C21" s="5" t="s">
        <v>208</v>
      </c>
    </row>
    <row r="22" spans="2:10" x14ac:dyDescent="0.2">
      <c r="C22" s="5" t="s">
        <v>296</v>
      </c>
    </row>
  </sheetData>
  <mergeCells count="5">
    <mergeCell ref="I5:J5"/>
    <mergeCell ref="B5:B7"/>
    <mergeCell ref="C5:C7"/>
    <mergeCell ref="D5:F5"/>
    <mergeCell ref="G5:H5"/>
  </mergeCells>
  <pageMargins left="0.27559055118110237" right="0.23622047244094491" top="0.23622047244094491" bottom="0.23622047244094491" header="0.23622047244094491" footer="0.23622047244094491"/>
  <pageSetup paperSize="9" scale="93" fitToHeight="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20"/>
  <sheetViews>
    <sheetView showGridLines="0" zoomScale="95" zoomScaleNormal="95" zoomScaleSheetLayoutView="90" workbookViewId="0">
      <selection activeCell="L15" sqref="L15"/>
    </sheetView>
  </sheetViews>
  <sheetFormatPr defaultColWidth="9.28515625" defaultRowHeight="14.25" x14ac:dyDescent="0.2"/>
  <cols>
    <col min="1" max="1" width="4.28515625" style="5" customWidth="1"/>
    <col min="2" max="2" width="6.28515625" style="5" customWidth="1"/>
    <col min="3" max="3" width="35.5703125" style="5" customWidth="1"/>
    <col min="4" max="4" width="13.7109375" style="5" bestFit="1" customWidth="1"/>
    <col min="5" max="5" width="12.5703125" style="5" bestFit="1" customWidth="1"/>
    <col min="6" max="6" width="13.42578125" style="5" bestFit="1" customWidth="1"/>
    <col min="7" max="7" width="13.7109375" style="5" bestFit="1" customWidth="1"/>
    <col min="8" max="9" width="12.5703125" style="5" customWidth="1"/>
    <col min="10" max="10" width="14.42578125" style="5" bestFit="1" customWidth="1"/>
    <col min="11" max="13" width="11.7109375" style="5" bestFit="1" customWidth="1"/>
    <col min="14" max="16384" width="9.28515625" style="5"/>
  </cols>
  <sheetData>
    <row r="1" spans="2:12" ht="15" x14ac:dyDescent="0.2">
      <c r="E1" s="32" t="s">
        <v>298</v>
      </c>
    </row>
    <row r="2" spans="2:12" ht="15" x14ac:dyDescent="0.2">
      <c r="E2" s="32" t="str">
        <f>'F1'!$F$3</f>
        <v>Pulichinthala HES</v>
      </c>
    </row>
    <row r="3" spans="2:12" ht="15" x14ac:dyDescent="0.2">
      <c r="E3" s="35" t="s">
        <v>245</v>
      </c>
    </row>
    <row r="4" spans="2:12" ht="15" x14ac:dyDescent="0.2">
      <c r="J4" s="26" t="s">
        <v>4</v>
      </c>
    </row>
    <row r="5" spans="2:12" s="13" customFormat="1" ht="15" customHeight="1" x14ac:dyDescent="0.2">
      <c r="B5" s="214" t="s">
        <v>164</v>
      </c>
      <c r="C5" s="217" t="s">
        <v>14</v>
      </c>
      <c r="D5" s="221" t="s">
        <v>299</v>
      </c>
      <c r="E5" s="222"/>
      <c r="F5" s="223"/>
      <c r="G5" s="221" t="s">
        <v>300</v>
      </c>
      <c r="H5" s="223"/>
      <c r="I5" s="221" t="s">
        <v>326</v>
      </c>
      <c r="J5" s="223"/>
    </row>
    <row r="6" spans="2:12" s="13" customFormat="1" ht="45" x14ac:dyDescent="0.2">
      <c r="B6" s="215"/>
      <c r="C6" s="217"/>
      <c r="D6" s="15" t="s">
        <v>271</v>
      </c>
      <c r="E6" s="15" t="s">
        <v>206</v>
      </c>
      <c r="F6" s="15" t="s">
        <v>178</v>
      </c>
      <c r="G6" s="15" t="s">
        <v>271</v>
      </c>
      <c r="H6" s="15" t="s">
        <v>205</v>
      </c>
      <c r="I6" s="15" t="s">
        <v>271</v>
      </c>
      <c r="J6" s="15" t="s">
        <v>195</v>
      </c>
    </row>
    <row r="7" spans="2:12" s="13" customFormat="1" ht="30" x14ac:dyDescent="0.2">
      <c r="B7" s="216"/>
      <c r="C7" s="218"/>
      <c r="D7" s="15" t="s">
        <v>10</v>
      </c>
      <c r="E7" s="15" t="s">
        <v>12</v>
      </c>
      <c r="F7" s="15" t="s">
        <v>197</v>
      </c>
      <c r="G7" s="15" t="s">
        <v>10</v>
      </c>
      <c r="H7" s="15" t="s">
        <v>322</v>
      </c>
      <c r="I7" s="15" t="s">
        <v>10</v>
      </c>
      <c r="J7" s="15" t="s">
        <v>322</v>
      </c>
    </row>
    <row r="8" spans="2:12" x14ac:dyDescent="0.2">
      <c r="B8" s="60">
        <v>1</v>
      </c>
      <c r="C8" s="27" t="s">
        <v>246</v>
      </c>
      <c r="D8" s="2"/>
      <c r="E8" s="100"/>
      <c r="F8" s="105"/>
      <c r="G8" s="110"/>
      <c r="H8" s="110"/>
      <c r="I8" s="110"/>
      <c r="J8" s="110"/>
    </row>
    <row r="9" spans="2:12" x14ac:dyDescent="0.2">
      <c r="B9" s="20">
        <f>B8+1</f>
        <v>2</v>
      </c>
      <c r="C9" s="27" t="s">
        <v>247</v>
      </c>
      <c r="D9" s="2"/>
      <c r="E9" s="100"/>
      <c r="F9" s="105"/>
      <c r="G9" s="110"/>
      <c r="H9" s="110"/>
      <c r="I9" s="110"/>
      <c r="J9" s="110"/>
    </row>
    <row r="10" spans="2:12" x14ac:dyDescent="0.2">
      <c r="B10" s="20">
        <f t="shared" ref="B10:B18" si="0">B9+1</f>
        <v>3</v>
      </c>
      <c r="C10" s="29" t="s">
        <v>248</v>
      </c>
      <c r="D10" s="2"/>
      <c r="E10" s="100"/>
      <c r="F10" s="105"/>
      <c r="G10" s="110"/>
      <c r="H10" s="110"/>
      <c r="I10" s="110"/>
      <c r="J10" s="110"/>
    </row>
    <row r="11" spans="2:12" x14ac:dyDescent="0.2">
      <c r="B11" s="20">
        <f t="shared" si="0"/>
        <v>4</v>
      </c>
      <c r="C11" s="66" t="s">
        <v>249</v>
      </c>
      <c r="D11" s="99">
        <f>'F2'!E14/12</f>
        <v>3.2124999999999999</v>
      </c>
      <c r="E11" s="99">
        <f>'F2'!F14/12</f>
        <v>3.6316666666666664</v>
      </c>
      <c r="F11" s="119">
        <f>'F2'!G14/12</f>
        <v>3.6316666666666664</v>
      </c>
      <c r="G11" s="119">
        <f>'F2'!H14/12</f>
        <v>3.3991666666666664</v>
      </c>
      <c r="H11" s="119">
        <f>'F2'!I14/12</f>
        <v>3.8408333333333338</v>
      </c>
      <c r="I11" s="119">
        <f>'F2'!J14/12</f>
        <v>3.5950000000000002</v>
      </c>
      <c r="J11" s="119">
        <f>'F2'!K14/12</f>
        <v>4.003333333333333</v>
      </c>
    </row>
    <row r="12" spans="2:12" s="32" customFormat="1" ht="15" x14ac:dyDescent="0.2">
      <c r="B12" s="20">
        <f t="shared" si="0"/>
        <v>5</v>
      </c>
      <c r="C12" s="37" t="s">
        <v>250</v>
      </c>
      <c r="D12" s="67"/>
      <c r="E12" s="105">
        <f>'F4'!F20*1%</f>
        <v>4.4076000000000004</v>
      </c>
      <c r="F12" s="105">
        <f>E12</f>
        <v>4.4076000000000004</v>
      </c>
      <c r="G12" s="105">
        <f>'F4'!F20*1%</f>
        <v>4.4076000000000004</v>
      </c>
      <c r="H12" s="105">
        <f>'F4'!F35*1%</f>
        <v>4.4076000000000004</v>
      </c>
      <c r="I12" s="105"/>
      <c r="J12" s="105">
        <f>'F4'!F35*1%</f>
        <v>4.4076000000000004</v>
      </c>
    </row>
    <row r="13" spans="2:12" x14ac:dyDescent="0.2">
      <c r="B13" s="20">
        <f t="shared" si="0"/>
        <v>6</v>
      </c>
      <c r="C13" s="66" t="s">
        <v>292</v>
      </c>
      <c r="D13" s="99">
        <f>'F1'!F21*45/365</f>
        <v>10.643424657534245</v>
      </c>
      <c r="E13" s="99">
        <f ca="1">'F1'!G16*45/365</f>
        <v>13.178219178082189</v>
      </c>
      <c r="F13" s="99">
        <f ca="1">'F1'!H16*45/365</f>
        <v>13.178061850517118</v>
      </c>
      <c r="G13" s="99">
        <f>'F1'!I16*45/365</f>
        <v>11.548356164383561</v>
      </c>
      <c r="H13" s="99">
        <f ca="1">'F1'!J16*45/365</f>
        <v>13.366849315068492</v>
      </c>
      <c r="I13" s="99">
        <f>'F1'!K16*45/365</f>
        <v>11.637123287671233</v>
      </c>
      <c r="J13" s="99">
        <f ca="1">'F1'!L16*45/365</f>
        <v>13.490136986301369</v>
      </c>
      <c r="K13" s="143"/>
    </row>
    <row r="14" spans="2:12" x14ac:dyDescent="0.2">
      <c r="B14" s="20"/>
      <c r="C14" s="66" t="s">
        <v>251</v>
      </c>
      <c r="D14" s="67"/>
      <c r="E14" s="29"/>
      <c r="F14" s="3"/>
      <c r="G14" s="29"/>
      <c r="H14" s="29"/>
      <c r="I14" s="29"/>
      <c r="J14" s="29"/>
    </row>
    <row r="15" spans="2:12" x14ac:dyDescent="0.2">
      <c r="B15" s="20">
        <f>B13+1</f>
        <v>7</v>
      </c>
      <c r="C15" s="27" t="s">
        <v>293</v>
      </c>
      <c r="D15" s="99"/>
      <c r="E15" s="99"/>
      <c r="F15" s="99"/>
      <c r="G15" s="99"/>
      <c r="H15" s="99"/>
      <c r="I15" s="99"/>
      <c r="J15" s="99"/>
      <c r="L15" s="143"/>
    </row>
    <row r="16" spans="2:12" ht="15" x14ac:dyDescent="0.2">
      <c r="B16" s="20">
        <f t="shared" si="0"/>
        <v>8</v>
      </c>
      <c r="C16" s="27" t="s">
        <v>40</v>
      </c>
      <c r="D16" s="97">
        <f>SUM(D8:D13)-D15</f>
        <v>13.855924657534246</v>
      </c>
      <c r="E16" s="97">
        <f t="shared" ref="E16:J16" ca="1" si="1">SUM(E8:E13)-E15</f>
        <v>21.217485844748857</v>
      </c>
      <c r="F16" s="97">
        <f t="shared" ca="1" si="1"/>
        <v>21.217328517183784</v>
      </c>
      <c r="G16" s="97">
        <f t="shared" si="1"/>
        <v>19.355122831050227</v>
      </c>
      <c r="H16" s="97">
        <f t="shared" ca="1" si="1"/>
        <v>21.615282648401827</v>
      </c>
      <c r="I16" s="97">
        <f t="shared" si="1"/>
        <v>15.232123287671234</v>
      </c>
      <c r="J16" s="97">
        <f t="shared" ca="1" si="1"/>
        <v>21.901070319634702</v>
      </c>
    </row>
    <row r="17" spans="2:10" x14ac:dyDescent="0.2">
      <c r="B17" s="20">
        <f t="shared" si="0"/>
        <v>9</v>
      </c>
      <c r="C17" s="27" t="s">
        <v>252</v>
      </c>
      <c r="D17" s="98"/>
      <c r="E17" s="98">
        <v>0.1041</v>
      </c>
      <c r="F17" s="98">
        <f>E17</f>
        <v>0.1041</v>
      </c>
      <c r="G17" s="98">
        <v>0.10249999999999999</v>
      </c>
      <c r="H17" s="98">
        <v>0.10249999999999999</v>
      </c>
      <c r="I17" s="98"/>
      <c r="J17" s="98">
        <v>0.10249999999999999</v>
      </c>
    </row>
    <row r="18" spans="2:10" ht="15" x14ac:dyDescent="0.2">
      <c r="B18" s="20">
        <f t="shared" si="0"/>
        <v>10</v>
      </c>
      <c r="C18" s="66" t="s">
        <v>253</v>
      </c>
      <c r="D18" s="97">
        <v>1.86</v>
      </c>
      <c r="E18" s="97">
        <f ca="1">ROUND(E16*E17,2)</f>
        <v>2.21</v>
      </c>
      <c r="F18" s="97">
        <f t="shared" ref="F18" ca="1" si="2">F16*F17</f>
        <v>2.2087238986388318</v>
      </c>
      <c r="G18" s="97">
        <v>1.99</v>
      </c>
      <c r="H18" s="97">
        <f ca="1">ROUND(H16*H17,2)</f>
        <v>2.2200000000000002</v>
      </c>
      <c r="I18" s="97">
        <v>2.0099999999999998</v>
      </c>
      <c r="J18" s="97">
        <f ca="1">ROUND(J16*J17,2)</f>
        <v>2.2400000000000002</v>
      </c>
    </row>
    <row r="19" spans="2:10" x14ac:dyDescent="0.2">
      <c r="C19" s="5" t="s">
        <v>208</v>
      </c>
    </row>
    <row r="20" spans="2:10" x14ac:dyDescent="0.2">
      <c r="C20" s="5" t="s">
        <v>294</v>
      </c>
    </row>
  </sheetData>
  <mergeCells count="5">
    <mergeCell ref="G5:H5"/>
    <mergeCell ref="I5:J5"/>
    <mergeCell ref="B5:B7"/>
    <mergeCell ref="C5:C7"/>
    <mergeCell ref="D5:F5"/>
  </mergeCells>
  <pageMargins left="0.27" right="0.25" top="1" bottom="1" header="0.25" footer="0.25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22"/>
  <sheetViews>
    <sheetView showGridLines="0" topLeftCell="A8" zoomScale="96" zoomScaleNormal="96" zoomScaleSheetLayoutView="90" zoomScalePageLayoutView="84" workbookViewId="0">
      <selection activeCell="L14" sqref="L14"/>
    </sheetView>
  </sheetViews>
  <sheetFormatPr defaultColWidth="9.28515625" defaultRowHeight="14.25" x14ac:dyDescent="0.2"/>
  <cols>
    <col min="1" max="1" width="3.28515625" style="5" customWidth="1"/>
    <col min="2" max="2" width="6.28515625" style="5" customWidth="1"/>
    <col min="3" max="3" width="54" style="5" customWidth="1"/>
    <col min="4" max="4" width="11.7109375" style="5" customWidth="1"/>
    <col min="5" max="5" width="11" style="5" customWidth="1"/>
    <col min="6" max="6" width="11.85546875" style="5" customWidth="1"/>
    <col min="7" max="8" width="12.140625" style="5" customWidth="1"/>
    <col min="9" max="9" width="11.7109375" style="5" customWidth="1"/>
    <col min="10" max="10" width="11.28515625" style="5" customWidth="1"/>
    <col min="11" max="13" width="11.7109375" style="5" bestFit="1" customWidth="1"/>
    <col min="14" max="16384" width="9.28515625" style="5"/>
  </cols>
  <sheetData>
    <row r="1" spans="2:10" ht="15" x14ac:dyDescent="0.2">
      <c r="D1" s="32" t="s">
        <v>298</v>
      </c>
    </row>
    <row r="2" spans="2:10" ht="15" x14ac:dyDescent="0.2">
      <c r="D2" s="32" t="str">
        <f>'F1'!$F$3</f>
        <v>Pulichinthala HES</v>
      </c>
    </row>
    <row r="3" spans="2:10" ht="15" x14ac:dyDescent="0.2">
      <c r="D3" s="35" t="s">
        <v>254</v>
      </c>
    </row>
    <row r="4" spans="2:10" ht="15" x14ac:dyDescent="0.2">
      <c r="J4" s="26" t="s">
        <v>4</v>
      </c>
    </row>
    <row r="5" spans="2:10" s="13" customFormat="1" ht="15" customHeight="1" x14ac:dyDescent="0.2">
      <c r="B5" s="214" t="s">
        <v>164</v>
      </c>
      <c r="C5" s="217" t="s">
        <v>14</v>
      </c>
      <c r="D5" s="221" t="s">
        <v>299</v>
      </c>
      <c r="E5" s="222"/>
      <c r="F5" s="223"/>
      <c r="G5" s="221" t="s">
        <v>300</v>
      </c>
      <c r="H5" s="223"/>
      <c r="I5" s="221" t="s">
        <v>326</v>
      </c>
      <c r="J5" s="223"/>
    </row>
    <row r="6" spans="2:10" s="13" customFormat="1" ht="45" x14ac:dyDescent="0.2">
      <c r="B6" s="215"/>
      <c r="C6" s="217"/>
      <c r="D6" s="15" t="s">
        <v>271</v>
      </c>
      <c r="E6" s="15" t="s">
        <v>206</v>
      </c>
      <c r="F6" s="15" t="s">
        <v>178</v>
      </c>
      <c r="G6" s="15" t="s">
        <v>271</v>
      </c>
      <c r="H6" s="15" t="s">
        <v>205</v>
      </c>
      <c r="I6" s="15" t="s">
        <v>271</v>
      </c>
      <c r="J6" s="15" t="s">
        <v>205</v>
      </c>
    </row>
    <row r="7" spans="2:10" s="13" customFormat="1" ht="30" x14ac:dyDescent="0.2">
      <c r="B7" s="216"/>
      <c r="C7" s="218"/>
      <c r="D7" s="15" t="s">
        <v>10</v>
      </c>
      <c r="E7" s="15" t="s">
        <v>12</v>
      </c>
      <c r="F7" s="15" t="s">
        <v>197</v>
      </c>
      <c r="G7" s="15" t="s">
        <v>10</v>
      </c>
      <c r="H7" s="15" t="s">
        <v>322</v>
      </c>
      <c r="I7" s="15" t="s">
        <v>10</v>
      </c>
      <c r="J7" s="15" t="s">
        <v>322</v>
      </c>
    </row>
    <row r="8" spans="2:10" x14ac:dyDescent="0.2">
      <c r="B8" s="60">
        <v>1</v>
      </c>
      <c r="C8" s="27" t="s">
        <v>190</v>
      </c>
      <c r="D8" s="107"/>
      <c r="E8" s="105">
        <f>'F4'!F20*30%</f>
        <v>132.22799999999998</v>
      </c>
      <c r="F8" s="105">
        <f>E8</f>
        <v>132.22799999999998</v>
      </c>
      <c r="G8" s="109"/>
      <c r="H8" s="110">
        <f>E12</f>
        <v>132.22799999999998</v>
      </c>
      <c r="I8" s="109"/>
      <c r="J8" s="110">
        <f>H12</f>
        <v>132.22799999999998</v>
      </c>
    </row>
    <row r="9" spans="2:10" x14ac:dyDescent="0.2">
      <c r="B9" s="20">
        <f>B8+1</f>
        <v>2</v>
      </c>
      <c r="C9" s="27" t="s">
        <v>191</v>
      </c>
      <c r="D9" s="107"/>
      <c r="E9" s="105">
        <f>'F3'!E11</f>
        <v>0</v>
      </c>
      <c r="F9" s="105">
        <f>'F3'!F11</f>
        <v>0</v>
      </c>
      <c r="G9" s="105">
        <f>'F3'!G11</f>
        <v>0</v>
      </c>
      <c r="H9" s="105">
        <f>'F3'!H11</f>
        <v>0</v>
      </c>
      <c r="I9" s="105">
        <f>'F3'!I11</f>
        <v>0</v>
      </c>
      <c r="J9" s="105">
        <f>'F3'!J11</f>
        <v>0</v>
      </c>
    </row>
    <row r="10" spans="2:10" x14ac:dyDescent="0.2">
      <c r="B10" s="20">
        <f t="shared" ref="B10:B20" si="0">B9+1</f>
        <v>3</v>
      </c>
      <c r="C10" s="29" t="s">
        <v>15</v>
      </c>
      <c r="D10" s="108">
        <f>D9*25%</f>
        <v>0</v>
      </c>
      <c r="E10" s="108">
        <f>E9*25%</f>
        <v>0</v>
      </c>
      <c r="F10" s="108">
        <f t="shared" ref="F10:J10" si="1">F9*25%</f>
        <v>0</v>
      </c>
      <c r="G10" s="108">
        <f t="shared" si="1"/>
        <v>0</v>
      </c>
      <c r="H10" s="108">
        <f t="shared" si="1"/>
        <v>0</v>
      </c>
      <c r="I10" s="108">
        <f t="shared" si="1"/>
        <v>0</v>
      </c>
      <c r="J10" s="108">
        <f t="shared" si="1"/>
        <v>0</v>
      </c>
    </row>
    <row r="11" spans="2:10" ht="28.5" x14ac:dyDescent="0.2">
      <c r="B11" s="20">
        <f t="shared" si="0"/>
        <v>4</v>
      </c>
      <c r="C11" s="66" t="s">
        <v>16</v>
      </c>
      <c r="D11" s="111"/>
      <c r="E11" s="39"/>
      <c r="F11" s="107"/>
      <c r="G11" s="39"/>
      <c r="H11" s="39"/>
      <c r="I11" s="39"/>
      <c r="J11" s="39"/>
    </row>
    <row r="12" spans="2:10" s="32" customFormat="1" ht="15" x14ac:dyDescent="0.2">
      <c r="B12" s="20">
        <f t="shared" si="0"/>
        <v>5</v>
      </c>
      <c r="C12" s="37" t="s">
        <v>17</v>
      </c>
      <c r="D12" s="112">
        <f>D8+D10-D11</f>
        <v>0</v>
      </c>
      <c r="E12" s="112">
        <f t="shared" ref="E12:J12" si="2">E8+E10-E11</f>
        <v>132.22799999999998</v>
      </c>
      <c r="F12" s="112">
        <f>F8+F10-F11</f>
        <v>132.22799999999998</v>
      </c>
      <c r="G12" s="112">
        <f t="shared" si="2"/>
        <v>0</v>
      </c>
      <c r="H12" s="112">
        <f t="shared" si="2"/>
        <v>132.22799999999998</v>
      </c>
      <c r="I12" s="112"/>
      <c r="J12" s="112">
        <f t="shared" si="2"/>
        <v>132.22799999999998</v>
      </c>
    </row>
    <row r="13" spans="2:10" s="32" customFormat="1" ht="15" x14ac:dyDescent="0.2">
      <c r="B13" s="20"/>
      <c r="C13" s="68" t="s">
        <v>255</v>
      </c>
      <c r="D13" s="67"/>
      <c r="E13" s="29"/>
      <c r="F13" s="3"/>
      <c r="G13" s="29"/>
      <c r="H13" s="29"/>
      <c r="I13" s="29"/>
      <c r="J13" s="29"/>
    </row>
    <row r="14" spans="2:10" s="32" customFormat="1" ht="15" x14ac:dyDescent="0.2">
      <c r="B14" s="20">
        <f>B12+1</f>
        <v>6</v>
      </c>
      <c r="C14" s="37" t="s">
        <v>256</v>
      </c>
      <c r="D14" s="149">
        <v>0.125</v>
      </c>
      <c r="E14" s="149">
        <v>0.16500000000000001</v>
      </c>
      <c r="F14" s="149">
        <v>0.16500000000000001</v>
      </c>
      <c r="G14" s="149">
        <v>0.16500000000000001</v>
      </c>
      <c r="H14" s="149">
        <v>0.16500000000000001</v>
      </c>
      <c r="I14" s="149">
        <v>0.16500000000000001</v>
      </c>
      <c r="J14" s="149">
        <v>0.16500000000000001</v>
      </c>
    </row>
    <row r="15" spans="2:10" s="32" customFormat="1" ht="15" x14ac:dyDescent="0.2">
      <c r="B15" s="20">
        <f>B14+1</f>
        <v>7</v>
      </c>
      <c r="C15" s="37" t="s">
        <v>257</v>
      </c>
      <c r="D15" s="150">
        <v>0.25168000000000001</v>
      </c>
      <c r="E15" s="150">
        <v>0.25168000000000001</v>
      </c>
      <c r="F15" s="150">
        <v>0.25168000000000001</v>
      </c>
      <c r="G15" s="150">
        <v>0.25168000000000001</v>
      </c>
      <c r="H15" s="150">
        <v>0.25168000000000001</v>
      </c>
      <c r="I15" s="150">
        <v>0.25168000000000001</v>
      </c>
      <c r="J15" s="150">
        <v>0.25168000000000001</v>
      </c>
    </row>
    <row r="16" spans="2:10" s="32" customFormat="1" ht="15" x14ac:dyDescent="0.2">
      <c r="B16" s="20">
        <f>B15+1</f>
        <v>8</v>
      </c>
      <c r="C16" s="30" t="s">
        <v>255</v>
      </c>
      <c r="D16" s="151">
        <f>D14/(1-D15)</f>
        <v>0.16704083814410947</v>
      </c>
      <c r="E16" s="151">
        <f t="shared" ref="E16:J16" si="3">E14/(1-E15)</f>
        <v>0.22049390635022451</v>
      </c>
      <c r="F16" s="151">
        <f t="shared" si="3"/>
        <v>0.22049390635022451</v>
      </c>
      <c r="G16" s="151">
        <f t="shared" si="3"/>
        <v>0.22049390635022451</v>
      </c>
      <c r="H16" s="151">
        <f t="shared" si="3"/>
        <v>0.22049390635022451</v>
      </c>
      <c r="I16" s="151">
        <f t="shared" si="3"/>
        <v>0.22049390635022451</v>
      </c>
      <c r="J16" s="151">
        <f t="shared" si="3"/>
        <v>0.22049390635022451</v>
      </c>
    </row>
    <row r="17" spans="2:10" ht="15" x14ac:dyDescent="0.2">
      <c r="B17" s="20"/>
      <c r="C17" s="68" t="s">
        <v>154</v>
      </c>
      <c r="D17" s="96"/>
      <c r="E17" s="29"/>
      <c r="F17" s="3"/>
      <c r="G17" s="29"/>
      <c r="H17" s="29"/>
      <c r="I17" s="29"/>
      <c r="J17" s="29"/>
    </row>
    <row r="18" spans="2:10" ht="17.25" customHeight="1" x14ac:dyDescent="0.2">
      <c r="B18" s="20">
        <f>B16+1</f>
        <v>9</v>
      </c>
      <c r="C18" s="66" t="s">
        <v>192</v>
      </c>
      <c r="D18" s="97">
        <f>D8*D16</f>
        <v>0</v>
      </c>
      <c r="E18" s="97">
        <f t="shared" ref="E18:J18" si="4">E8*E16</f>
        <v>29.155468248877483</v>
      </c>
      <c r="F18" s="97">
        <f t="shared" si="4"/>
        <v>29.155468248877483</v>
      </c>
      <c r="G18" s="97">
        <f t="shared" si="4"/>
        <v>0</v>
      </c>
      <c r="H18" s="97">
        <f t="shared" si="4"/>
        <v>29.155468248877483</v>
      </c>
      <c r="I18" s="97"/>
      <c r="J18" s="97">
        <f t="shared" si="4"/>
        <v>29.155468248877483</v>
      </c>
    </row>
    <row r="19" spans="2:10" ht="18.75" customHeight="1" x14ac:dyDescent="0.2">
      <c r="B19" s="20">
        <f t="shared" si="0"/>
        <v>10</v>
      </c>
      <c r="C19" s="66" t="s">
        <v>193</v>
      </c>
      <c r="D19" s="97">
        <f>AVERAGE(D8,D12)*D16-D18</f>
        <v>0</v>
      </c>
      <c r="E19" s="97">
        <f t="shared" ref="E19:J19" si="5">AVERAGE(E8,E12)*E16-E18</f>
        <v>0</v>
      </c>
      <c r="F19" s="97">
        <f t="shared" si="5"/>
        <v>0</v>
      </c>
      <c r="G19" s="97">
        <f t="shared" si="5"/>
        <v>0</v>
      </c>
      <c r="H19" s="97">
        <f t="shared" si="5"/>
        <v>0</v>
      </c>
      <c r="I19" s="97"/>
      <c r="J19" s="97">
        <f t="shared" si="5"/>
        <v>0</v>
      </c>
    </row>
    <row r="20" spans="2:10" ht="15" x14ac:dyDescent="0.2">
      <c r="B20" s="20">
        <f t="shared" si="0"/>
        <v>11</v>
      </c>
      <c r="C20" s="38" t="s">
        <v>155</v>
      </c>
      <c r="D20" s="97">
        <v>16.989999999999998</v>
      </c>
      <c r="E20" s="97">
        <f>ROUND((E18+E19),2)</f>
        <v>29.16</v>
      </c>
      <c r="F20" s="97">
        <f>ROUND((F18+F19),2)</f>
        <v>29.16</v>
      </c>
      <c r="G20" s="97">
        <v>22.74</v>
      </c>
      <c r="H20" s="97">
        <f>ROUND((H18+H19),2)</f>
        <v>29.16</v>
      </c>
      <c r="I20" s="97">
        <v>22.74</v>
      </c>
      <c r="J20" s="97">
        <f>ROUND((J18+J19),2)</f>
        <v>29.16</v>
      </c>
    </row>
    <row r="21" spans="2:10" x14ac:dyDescent="0.2">
      <c r="C21" s="5" t="s">
        <v>208</v>
      </c>
    </row>
    <row r="22" spans="2:10" x14ac:dyDescent="0.2">
      <c r="C22" s="5" t="s">
        <v>296</v>
      </c>
    </row>
  </sheetData>
  <mergeCells count="5">
    <mergeCell ref="I5:J5"/>
    <mergeCell ref="B5:B7"/>
    <mergeCell ref="C5:C7"/>
    <mergeCell ref="D5:F5"/>
    <mergeCell ref="G5:H5"/>
  </mergeCells>
  <pageMargins left="1.02" right="0.25" top="1" bottom="1" header="0.25" footer="0.25"/>
  <pageSetup paperSize="9" scale="8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30"/>
  <sheetViews>
    <sheetView showGridLines="0" view="pageBreakPreview" topLeftCell="A11" zoomScale="90" zoomScaleNormal="112" zoomScaleSheetLayoutView="90" workbookViewId="0">
      <selection activeCell="H29" sqref="H29"/>
    </sheetView>
  </sheetViews>
  <sheetFormatPr defaultColWidth="9.28515625" defaultRowHeight="14.25" x14ac:dyDescent="0.2"/>
  <cols>
    <col min="1" max="1" width="2.7109375" style="5" customWidth="1"/>
    <col min="2" max="2" width="6.28515625" style="5" customWidth="1"/>
    <col min="3" max="3" width="50.42578125" style="5" customWidth="1"/>
    <col min="4" max="5" width="11.28515625" style="5" customWidth="1"/>
    <col min="6" max="6" width="13.7109375" style="5" customWidth="1"/>
    <col min="7" max="10" width="11.28515625" style="5" customWidth="1"/>
    <col min="11" max="13" width="11.7109375" style="5" bestFit="1" customWidth="1"/>
    <col min="14" max="16384" width="9.28515625" style="5"/>
  </cols>
  <sheetData>
    <row r="2" spans="2:10" ht="15" x14ac:dyDescent="0.2">
      <c r="E2" s="32" t="s">
        <v>298</v>
      </c>
    </row>
    <row r="3" spans="2:10" ht="15" x14ac:dyDescent="0.2">
      <c r="E3" s="32" t="str">
        <f>'F1'!$F$3</f>
        <v>Pulichinthala HES</v>
      </c>
    </row>
    <row r="4" spans="2:10" ht="15" x14ac:dyDescent="0.2">
      <c r="B4" s="33"/>
      <c r="C4" s="24"/>
      <c r="D4" s="25"/>
      <c r="E4" s="35" t="s">
        <v>258</v>
      </c>
      <c r="F4" s="25"/>
      <c r="G4" s="25"/>
      <c r="H4" s="25"/>
      <c r="I4" s="25"/>
      <c r="J4" s="25"/>
    </row>
    <row r="5" spans="2:10" ht="15" x14ac:dyDescent="0.2">
      <c r="J5" s="26" t="s">
        <v>4</v>
      </c>
    </row>
    <row r="6" spans="2:10" s="13" customFormat="1" ht="15" customHeight="1" x14ac:dyDescent="0.2">
      <c r="B6" s="214" t="s">
        <v>164</v>
      </c>
      <c r="C6" s="217" t="s">
        <v>14</v>
      </c>
      <c r="D6" s="221" t="s">
        <v>299</v>
      </c>
      <c r="E6" s="222"/>
      <c r="F6" s="223"/>
      <c r="G6" s="221" t="s">
        <v>300</v>
      </c>
      <c r="H6" s="223"/>
      <c r="I6" s="221" t="s">
        <v>326</v>
      </c>
      <c r="J6" s="223"/>
    </row>
    <row r="7" spans="2:10" s="13" customFormat="1" ht="30" x14ac:dyDescent="0.2">
      <c r="B7" s="215"/>
      <c r="C7" s="217"/>
      <c r="D7" s="15" t="s">
        <v>271</v>
      </c>
      <c r="E7" s="15" t="s">
        <v>206</v>
      </c>
      <c r="F7" s="15" t="s">
        <v>178</v>
      </c>
      <c r="G7" s="15" t="s">
        <v>271</v>
      </c>
      <c r="H7" s="15" t="s">
        <v>205</v>
      </c>
      <c r="I7" s="15" t="s">
        <v>271</v>
      </c>
      <c r="J7" s="15" t="s">
        <v>195</v>
      </c>
    </row>
    <row r="8" spans="2:10" s="13" customFormat="1" ht="15" x14ac:dyDescent="0.2">
      <c r="B8" s="216"/>
      <c r="C8" s="218"/>
      <c r="D8" s="15" t="s">
        <v>10</v>
      </c>
      <c r="E8" s="15" t="s">
        <v>12</v>
      </c>
      <c r="F8" s="15" t="s">
        <v>197</v>
      </c>
      <c r="G8" s="15" t="s">
        <v>10</v>
      </c>
      <c r="H8" s="15" t="s">
        <v>5</v>
      </c>
      <c r="I8" s="15" t="s">
        <v>10</v>
      </c>
      <c r="J8" s="15" t="s">
        <v>8</v>
      </c>
    </row>
    <row r="9" spans="2:10" s="13" customFormat="1" ht="15" x14ac:dyDescent="0.2">
      <c r="B9" s="60">
        <v>1</v>
      </c>
      <c r="C9" s="158" t="s">
        <v>310</v>
      </c>
      <c r="D9" s="131"/>
      <c r="E9" s="132">
        <v>1.8158259666446682E-2</v>
      </c>
      <c r="F9" s="132">
        <v>1.8158259666446682E-2</v>
      </c>
      <c r="G9" s="15"/>
      <c r="H9" s="156">
        <v>1.8884590053104548E-2</v>
      </c>
      <c r="I9" s="15"/>
      <c r="J9" s="157">
        <v>1.963997365522873E-2</v>
      </c>
    </row>
    <row r="10" spans="2:10" s="13" customFormat="1" ht="15" x14ac:dyDescent="0.2">
      <c r="B10" s="60">
        <f>B9+1</f>
        <v>2</v>
      </c>
      <c r="C10" s="158" t="s">
        <v>309</v>
      </c>
      <c r="D10" s="131"/>
      <c r="E10" s="132">
        <v>1.0595069445450145E-3</v>
      </c>
      <c r="F10" s="132">
        <v>1.0595069445450145E-3</v>
      </c>
      <c r="G10" s="15"/>
      <c r="H10" s="156">
        <v>1.1018872223268149E-3</v>
      </c>
      <c r="I10" s="15"/>
      <c r="J10" s="157">
        <v>1.1459627112198876E-3</v>
      </c>
    </row>
    <row r="11" spans="2:10" s="13" customFormat="1" ht="15" x14ac:dyDescent="0.2">
      <c r="B11" s="60">
        <f>B10+1</f>
        <v>3</v>
      </c>
      <c r="C11" s="158" t="s">
        <v>308</v>
      </c>
      <c r="D11" s="131"/>
      <c r="E11" s="132">
        <v>1.6873890271449411E-2</v>
      </c>
      <c r="F11" s="132">
        <v>1.6873890271449411E-2</v>
      </c>
      <c r="G11" s="15"/>
      <c r="H11" s="156">
        <v>1.7548845882307387E-2</v>
      </c>
      <c r="I11" s="15"/>
      <c r="J11" s="157">
        <v>1.8250799717599683E-2</v>
      </c>
    </row>
    <row r="12" spans="2:10" s="13" customFormat="1" ht="15" x14ac:dyDescent="0.2">
      <c r="B12" s="159">
        <f t="shared" ref="B12:B27" si="0">B11+1</f>
        <v>4</v>
      </c>
      <c r="C12" s="158" t="s">
        <v>321</v>
      </c>
      <c r="D12" s="131"/>
      <c r="E12" s="132">
        <v>0</v>
      </c>
      <c r="F12" s="132">
        <v>0</v>
      </c>
      <c r="G12" s="15"/>
      <c r="H12" s="156">
        <v>0</v>
      </c>
      <c r="I12" s="15"/>
      <c r="J12" s="157">
        <v>0</v>
      </c>
    </row>
    <row r="13" spans="2:10" s="13" customFormat="1" ht="15" x14ac:dyDescent="0.2">
      <c r="B13" s="159">
        <f t="shared" si="0"/>
        <v>5</v>
      </c>
      <c r="C13" s="158" t="s">
        <v>318</v>
      </c>
      <c r="D13" s="132"/>
      <c r="E13" s="132">
        <v>2.9729072681064443E-2</v>
      </c>
      <c r="F13" s="132">
        <v>2.9729072681064443E-2</v>
      </c>
      <c r="G13" s="15"/>
      <c r="H13" s="156">
        <v>3.0918235588307023E-2</v>
      </c>
      <c r="I13" s="15"/>
      <c r="J13" s="157">
        <v>3.2154965011839308E-2</v>
      </c>
    </row>
    <row r="14" spans="2:10" s="13" customFormat="1" ht="15" x14ac:dyDescent="0.2">
      <c r="B14" s="159">
        <f t="shared" si="0"/>
        <v>6</v>
      </c>
      <c r="C14" s="158" t="s">
        <v>304</v>
      </c>
      <c r="D14" s="132"/>
      <c r="E14" s="132">
        <v>7.1044642327061679E-4</v>
      </c>
      <c r="F14" s="132">
        <v>7.1044642327061679E-4</v>
      </c>
      <c r="G14" s="15"/>
      <c r="H14" s="156">
        <v>7.3886428020144136E-4</v>
      </c>
      <c r="I14" s="15"/>
      <c r="J14" s="157">
        <v>7.6841885140949899E-4</v>
      </c>
    </row>
    <row r="15" spans="2:10" s="13" customFormat="1" ht="15" x14ac:dyDescent="0.2">
      <c r="B15" s="159">
        <f t="shared" si="0"/>
        <v>7</v>
      </c>
      <c r="C15" s="158" t="s">
        <v>317</v>
      </c>
      <c r="D15" s="132"/>
      <c r="E15" s="132">
        <v>4.3199999999999998E-4</v>
      </c>
      <c r="F15" s="132">
        <v>4.3199999999999998E-4</v>
      </c>
      <c r="G15" s="15"/>
      <c r="H15" s="156">
        <v>4.4928000000000004E-4</v>
      </c>
      <c r="I15" s="15"/>
      <c r="J15" s="157">
        <v>4.6725120000000003E-4</v>
      </c>
    </row>
    <row r="16" spans="2:10" s="13" customFormat="1" ht="15" x14ac:dyDescent="0.2">
      <c r="B16" s="159">
        <f t="shared" si="0"/>
        <v>8</v>
      </c>
      <c r="C16" s="158" t="s">
        <v>312</v>
      </c>
      <c r="D16" s="132"/>
      <c r="E16" s="132">
        <v>3.7274447655144122E-2</v>
      </c>
      <c r="F16" s="132">
        <v>3.7274447655144122E-2</v>
      </c>
      <c r="G16" s="15"/>
      <c r="H16" s="156">
        <v>3.8765425561349889E-2</v>
      </c>
      <c r="I16" s="15"/>
      <c r="J16" s="157">
        <v>4.0316042583803884E-2</v>
      </c>
    </row>
    <row r="17" spans="2:10" s="13" customFormat="1" ht="15" x14ac:dyDescent="0.2">
      <c r="B17" s="159">
        <f t="shared" si="0"/>
        <v>9</v>
      </c>
      <c r="C17" s="158" t="s">
        <v>305</v>
      </c>
      <c r="D17" s="132"/>
      <c r="E17" s="132">
        <v>0</v>
      </c>
      <c r="F17" s="132">
        <v>0</v>
      </c>
      <c r="G17" s="15"/>
      <c r="H17" s="156">
        <v>0</v>
      </c>
      <c r="I17" s="15"/>
      <c r="J17" s="157">
        <v>0</v>
      </c>
    </row>
    <row r="18" spans="2:10" s="13" customFormat="1" ht="15" x14ac:dyDescent="0.2">
      <c r="B18" s="159">
        <f t="shared" si="0"/>
        <v>10</v>
      </c>
      <c r="C18" s="158" t="s">
        <v>338</v>
      </c>
      <c r="D18" s="132"/>
      <c r="E18" s="132">
        <v>0</v>
      </c>
      <c r="F18" s="132">
        <v>0</v>
      </c>
      <c r="G18" s="15"/>
      <c r="H18" s="156">
        <v>0</v>
      </c>
      <c r="I18" s="15"/>
      <c r="J18" s="157">
        <v>0</v>
      </c>
    </row>
    <row r="19" spans="2:10" s="13" customFormat="1" ht="15" x14ac:dyDescent="0.2">
      <c r="B19" s="159">
        <f t="shared" si="0"/>
        <v>11</v>
      </c>
      <c r="C19" s="158" t="s">
        <v>307</v>
      </c>
      <c r="D19" s="132"/>
      <c r="E19" s="132">
        <v>0.1068465</v>
      </c>
      <c r="F19" s="132">
        <v>0.1068465</v>
      </c>
      <c r="G19" s="15"/>
      <c r="H19" s="156">
        <v>0.11112036</v>
      </c>
      <c r="I19" s="15"/>
      <c r="J19" s="157">
        <v>0.11556517440000001</v>
      </c>
    </row>
    <row r="20" spans="2:10" s="13" customFormat="1" ht="15" x14ac:dyDescent="0.2">
      <c r="B20" s="159">
        <f t="shared" si="0"/>
        <v>12</v>
      </c>
      <c r="C20" s="158" t="s">
        <v>306</v>
      </c>
      <c r="D20" s="132"/>
      <c r="E20" s="132">
        <v>0</v>
      </c>
      <c r="F20" s="132">
        <v>0</v>
      </c>
      <c r="G20" s="15"/>
      <c r="H20" s="156">
        <v>0</v>
      </c>
      <c r="I20" s="15"/>
      <c r="J20" s="157">
        <v>0</v>
      </c>
    </row>
    <row r="21" spans="2:10" x14ac:dyDescent="0.2">
      <c r="B21" s="159">
        <f t="shared" si="0"/>
        <v>13</v>
      </c>
      <c r="C21" s="158" t="s">
        <v>311</v>
      </c>
      <c r="D21" s="132"/>
      <c r="E21" s="132">
        <v>3.9693032199171664E-4</v>
      </c>
      <c r="F21" s="132">
        <v>3.9693032199171664E-4</v>
      </c>
      <c r="G21" s="21"/>
      <c r="H21" s="156">
        <v>4.1280753487138531E-4</v>
      </c>
      <c r="I21" s="21"/>
      <c r="J21" s="110">
        <v>4.2931983626624072E-4</v>
      </c>
    </row>
    <row r="22" spans="2:10" x14ac:dyDescent="0.2">
      <c r="B22" s="159">
        <f t="shared" si="0"/>
        <v>14</v>
      </c>
      <c r="C22" s="158" t="s">
        <v>315</v>
      </c>
      <c r="D22" s="132"/>
      <c r="E22" s="132">
        <v>7.7762407829447084E-3</v>
      </c>
      <c r="F22" s="132">
        <v>7.7762407829447084E-3</v>
      </c>
      <c r="G22" s="21"/>
      <c r="H22" s="156">
        <v>8.087290414262498E-3</v>
      </c>
      <c r="I22" s="21"/>
      <c r="J22" s="110">
        <v>8.4107820308329979E-3</v>
      </c>
    </row>
    <row r="23" spans="2:10" x14ac:dyDescent="0.2">
      <c r="B23" s="159">
        <f t="shared" si="0"/>
        <v>15</v>
      </c>
      <c r="C23" s="158" t="s">
        <v>319</v>
      </c>
      <c r="D23" s="132"/>
      <c r="E23" s="132">
        <v>1.9932110626867693E-2</v>
      </c>
      <c r="F23" s="132">
        <v>1.9932110626867693E-2</v>
      </c>
      <c r="G23" s="21"/>
      <c r="H23" s="156">
        <v>2.0729395051942403E-2</v>
      </c>
      <c r="I23" s="21"/>
      <c r="J23" s="110">
        <v>2.15585708540201E-2</v>
      </c>
    </row>
    <row r="24" spans="2:10" x14ac:dyDescent="0.2">
      <c r="B24" s="159">
        <f t="shared" si="0"/>
        <v>16</v>
      </c>
      <c r="C24" s="158" t="s">
        <v>320</v>
      </c>
      <c r="D24" s="132"/>
      <c r="E24" s="132">
        <v>2.3970301884581342E-3</v>
      </c>
      <c r="F24" s="132">
        <v>2.3970301884581342E-3</v>
      </c>
      <c r="G24" s="21"/>
      <c r="H24" s="156">
        <v>2.4929113959964596E-3</v>
      </c>
      <c r="I24" s="21"/>
      <c r="J24" s="110">
        <v>2.5926278518363182E-3</v>
      </c>
    </row>
    <row r="25" spans="2:10" ht="15.75" customHeight="1" x14ac:dyDescent="0.2">
      <c r="B25" s="159">
        <f t="shared" si="0"/>
        <v>17</v>
      </c>
      <c r="C25" s="158" t="s">
        <v>316</v>
      </c>
      <c r="D25" s="133">
        <f>SUM(D9:D20)</f>
        <v>0</v>
      </c>
      <c r="E25" s="132">
        <v>4.5743363490438312E-4</v>
      </c>
      <c r="F25" s="132">
        <v>4.5743363490438312E-4</v>
      </c>
      <c r="G25" s="29"/>
      <c r="H25" s="156">
        <v>4.757309803005585E-4</v>
      </c>
      <c r="I25" s="29"/>
      <c r="J25" s="105">
        <v>4.9476021951258087E-4</v>
      </c>
    </row>
    <row r="26" spans="2:10" s="32" customFormat="1" ht="15" x14ac:dyDescent="0.2">
      <c r="B26" s="159">
        <f t="shared" si="0"/>
        <v>18</v>
      </c>
      <c r="C26" s="158" t="s">
        <v>314</v>
      </c>
      <c r="D26" s="133"/>
      <c r="E26" s="132">
        <v>1.0646662819378096E-4</v>
      </c>
      <c r="F26" s="132">
        <v>1.0646662819378096E-4</v>
      </c>
      <c r="G26" s="29"/>
      <c r="H26" s="156">
        <v>7.5375666461822647E-3</v>
      </c>
      <c r="I26" s="29"/>
      <c r="J26" s="105">
        <v>7.8390693120295556E-3</v>
      </c>
    </row>
    <row r="27" spans="2:10" s="32" customFormat="1" ht="15" x14ac:dyDescent="0.2">
      <c r="B27" s="159">
        <f t="shared" si="0"/>
        <v>19</v>
      </c>
      <c r="C27" s="158" t="s">
        <v>313</v>
      </c>
      <c r="D27" s="133"/>
      <c r="E27" s="132">
        <v>0</v>
      </c>
      <c r="F27" s="132">
        <v>0</v>
      </c>
      <c r="G27" s="29"/>
      <c r="H27" s="156">
        <v>6.6121821965811698E-4</v>
      </c>
      <c r="I27" s="29"/>
      <c r="J27" s="105">
        <v>6.8766694844444166E-4</v>
      </c>
    </row>
    <row r="28" spans="2:10" x14ac:dyDescent="0.2">
      <c r="B28" s="20"/>
      <c r="C28" s="66"/>
      <c r="D28" s="67"/>
      <c r="E28" s="29"/>
      <c r="F28" s="29"/>
      <c r="G28" s="39"/>
      <c r="H28" s="39"/>
      <c r="I28" s="39"/>
      <c r="J28" s="39"/>
    </row>
    <row r="29" spans="2:10" ht="15" x14ac:dyDescent="0.2">
      <c r="B29" s="20"/>
      <c r="C29" s="31" t="s">
        <v>123</v>
      </c>
      <c r="D29" s="97">
        <v>0.5</v>
      </c>
      <c r="E29" s="97">
        <f>ROUND(SUM(E9:E27),2)</f>
        <v>0.24</v>
      </c>
      <c r="F29" s="97">
        <f>ROUND(SUM(F9:F27),2)</f>
        <v>0.24</v>
      </c>
      <c r="G29" s="97">
        <v>0.52</v>
      </c>
      <c r="H29" s="97">
        <f>ROUND(SUM(H9:H27),2)</f>
        <v>0.26</v>
      </c>
      <c r="I29" s="97">
        <v>0.54</v>
      </c>
      <c r="J29" s="97">
        <f>ROUND(SUM(J9:J27),2)</f>
        <v>0.27</v>
      </c>
    </row>
    <row r="30" spans="2:10" x14ac:dyDescent="0.2">
      <c r="E30" s="139"/>
      <c r="F30" s="139"/>
      <c r="G30" s="139"/>
      <c r="H30" s="139"/>
      <c r="I30" s="139"/>
      <c r="J30" s="139"/>
    </row>
  </sheetData>
  <mergeCells count="5">
    <mergeCell ref="I6:J6"/>
    <mergeCell ref="B6:B8"/>
    <mergeCell ref="C6:C8"/>
    <mergeCell ref="D6:F6"/>
    <mergeCell ref="G6:H6"/>
  </mergeCells>
  <pageMargins left="0.27" right="0.25" top="0.25" bottom="1" header="0.25" footer="0.25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31"/>
  <sheetViews>
    <sheetView showGridLines="0" view="pageBreakPreview" zoomScaleNormal="93" zoomScaleSheetLayoutView="100" workbookViewId="0">
      <selection activeCell="D3" sqref="D3"/>
    </sheetView>
  </sheetViews>
  <sheetFormatPr defaultColWidth="9.28515625" defaultRowHeight="14.25" x14ac:dyDescent="0.2"/>
  <cols>
    <col min="1" max="1" width="3.28515625" style="5" customWidth="1"/>
    <col min="2" max="2" width="8.28515625" style="5" customWidth="1"/>
    <col min="3" max="3" width="26.7109375" style="5" customWidth="1"/>
    <col min="4" max="4" width="15.7109375" style="5" customWidth="1"/>
    <col min="5" max="5" width="18" style="5" bestFit="1" customWidth="1"/>
    <col min="6" max="6" width="15.7109375" style="5" customWidth="1"/>
    <col min="7" max="16384" width="9.28515625" style="5"/>
  </cols>
  <sheetData>
    <row r="2" spans="2:6" ht="15" x14ac:dyDescent="0.2">
      <c r="B2" s="224" t="s">
        <v>298</v>
      </c>
      <c r="C2" s="224"/>
      <c r="D2" s="224"/>
      <c r="E2" s="224"/>
      <c r="F2" s="224"/>
    </row>
    <row r="3" spans="2:6" ht="15" x14ac:dyDescent="0.2">
      <c r="B3" s="35"/>
      <c r="C3" s="35"/>
      <c r="D3" s="35" t="str">
        <f>'F1'!$F$3</f>
        <v>Pulichinthala HES</v>
      </c>
      <c r="E3" s="35"/>
      <c r="F3" s="35"/>
    </row>
    <row r="4" spans="2:6" ht="14.25" customHeight="1" x14ac:dyDescent="0.2">
      <c r="B4" s="224" t="s">
        <v>260</v>
      </c>
      <c r="C4" s="224"/>
      <c r="D4" s="224"/>
      <c r="E4" s="224"/>
      <c r="F4" s="224"/>
    </row>
    <row r="5" spans="2:6" ht="15" x14ac:dyDescent="0.2">
      <c r="B5" s="24"/>
      <c r="C5" s="70"/>
      <c r="D5" s="71"/>
    </row>
    <row r="6" spans="2:6" ht="15" customHeight="1" x14ac:dyDescent="0.2">
      <c r="B6" s="226" t="s">
        <v>2</v>
      </c>
      <c r="C6" s="231" t="s">
        <v>14</v>
      </c>
      <c r="D6" s="114" t="s">
        <v>299</v>
      </c>
      <c r="E6" s="23" t="s">
        <v>300</v>
      </c>
      <c r="F6" s="23" t="s">
        <v>326</v>
      </c>
    </row>
    <row r="7" spans="2:6" ht="15" x14ac:dyDescent="0.2">
      <c r="B7" s="226"/>
      <c r="C7" s="231"/>
      <c r="D7" s="15" t="s">
        <v>259</v>
      </c>
      <c r="E7" s="15" t="s">
        <v>205</v>
      </c>
      <c r="F7" s="15" t="s">
        <v>205</v>
      </c>
    </row>
    <row r="8" spans="2:6" ht="24.75" customHeight="1" x14ac:dyDescent="0.2">
      <c r="B8" s="244"/>
      <c r="C8" s="245"/>
      <c r="D8" s="15" t="s">
        <v>3</v>
      </c>
      <c r="E8" s="15" t="s">
        <v>5</v>
      </c>
      <c r="F8" s="15" t="s">
        <v>8</v>
      </c>
    </row>
    <row r="9" spans="2:6" ht="15" x14ac:dyDescent="0.2">
      <c r="B9" s="72">
        <v>1</v>
      </c>
      <c r="C9" s="73" t="s">
        <v>142</v>
      </c>
      <c r="D9" s="69"/>
      <c r="E9" s="69"/>
      <c r="F9" s="27"/>
    </row>
    <row r="10" spans="2:6" s="32" customFormat="1" ht="15" x14ac:dyDescent="0.2">
      <c r="B10" s="74" t="s">
        <v>41</v>
      </c>
      <c r="C10" s="38" t="s">
        <v>42</v>
      </c>
      <c r="D10" s="75"/>
      <c r="E10" s="38"/>
      <c r="F10" s="38"/>
    </row>
    <row r="11" spans="2:6" s="32" customFormat="1" ht="15" x14ac:dyDescent="0.2">
      <c r="B11" s="76"/>
      <c r="C11" s="29" t="s">
        <v>43</v>
      </c>
      <c r="D11" s="75"/>
      <c r="E11" s="38"/>
      <c r="F11" s="38"/>
    </row>
    <row r="12" spans="2:6" s="32" customFormat="1" ht="15" x14ac:dyDescent="0.2">
      <c r="B12" s="76"/>
      <c r="C12" s="29" t="s">
        <v>44</v>
      </c>
      <c r="D12" s="75"/>
      <c r="E12" s="38"/>
      <c r="F12" s="38"/>
    </row>
    <row r="13" spans="2:6" s="32" customFormat="1" ht="15" x14ac:dyDescent="0.2">
      <c r="B13" s="76"/>
      <c r="C13" s="29" t="s">
        <v>45</v>
      </c>
      <c r="D13" s="75" t="s">
        <v>323</v>
      </c>
      <c r="E13" s="38"/>
      <c r="F13" s="38"/>
    </row>
    <row r="14" spans="2:6" s="32" customFormat="1" ht="15" x14ac:dyDescent="0.2">
      <c r="B14" s="76"/>
      <c r="C14" s="77"/>
      <c r="D14" s="75"/>
      <c r="E14" s="38"/>
      <c r="F14" s="38"/>
    </row>
    <row r="15" spans="2:6" s="32" customFormat="1" ht="15" x14ac:dyDescent="0.2">
      <c r="B15" s="74" t="s">
        <v>46</v>
      </c>
      <c r="C15" s="78" t="s">
        <v>47</v>
      </c>
      <c r="D15" s="75"/>
      <c r="E15" s="38"/>
      <c r="F15" s="38"/>
    </row>
    <row r="16" spans="2:6" s="32" customFormat="1" ht="15" x14ac:dyDescent="0.2">
      <c r="B16" s="76"/>
      <c r="C16" s="29" t="s">
        <v>43</v>
      </c>
      <c r="D16" s="75"/>
      <c r="E16" s="38"/>
      <c r="F16" s="38"/>
    </row>
    <row r="17" spans="2:6" x14ac:dyDescent="0.2">
      <c r="B17" s="76"/>
      <c r="C17" s="29" t="s">
        <v>44</v>
      </c>
      <c r="D17" s="75"/>
      <c r="E17" s="27"/>
      <c r="F17" s="27"/>
    </row>
    <row r="18" spans="2:6" x14ac:dyDescent="0.2">
      <c r="B18" s="79"/>
      <c r="C18" s="29" t="s">
        <v>48</v>
      </c>
      <c r="D18" s="75"/>
      <c r="E18" s="27"/>
      <c r="F18" s="27"/>
    </row>
    <row r="19" spans="2:6" ht="15" x14ac:dyDescent="0.2">
      <c r="B19" s="79"/>
      <c r="C19" s="78"/>
      <c r="D19" s="75"/>
      <c r="E19" s="27"/>
      <c r="F19" s="27"/>
    </row>
    <row r="20" spans="2:6" ht="17.25" customHeight="1" x14ac:dyDescent="0.2">
      <c r="B20" s="74">
        <v>2</v>
      </c>
      <c r="C20" s="73" t="s">
        <v>143</v>
      </c>
      <c r="D20" s="75"/>
      <c r="E20" s="27"/>
      <c r="F20" s="27"/>
    </row>
    <row r="21" spans="2:6" ht="17.25" customHeight="1" x14ac:dyDescent="0.2">
      <c r="B21" s="74"/>
      <c r="C21" s="73" t="s">
        <v>49</v>
      </c>
      <c r="D21" s="75"/>
      <c r="E21" s="27"/>
      <c r="F21" s="27"/>
    </row>
    <row r="22" spans="2:6" ht="17.25" customHeight="1" x14ac:dyDescent="0.2">
      <c r="B22" s="74"/>
      <c r="C22" s="73" t="s">
        <v>49</v>
      </c>
      <c r="D22" s="75"/>
      <c r="E22" s="27"/>
      <c r="F22" s="27"/>
    </row>
    <row r="23" spans="2:6" ht="15" x14ac:dyDescent="0.2">
      <c r="B23" s="76"/>
      <c r="C23" s="78" t="s">
        <v>50</v>
      </c>
      <c r="D23" s="75"/>
      <c r="E23" s="27"/>
      <c r="F23" s="27"/>
    </row>
    <row r="25" spans="2:6" ht="15" x14ac:dyDescent="0.2">
      <c r="B25" s="80" t="s">
        <v>39</v>
      </c>
      <c r="C25" s="81"/>
      <c r="D25" s="81"/>
      <c r="E25" s="81"/>
    </row>
    <row r="26" spans="2:6" x14ac:dyDescent="0.2">
      <c r="B26" s="5" t="s">
        <v>179</v>
      </c>
      <c r="D26" s="82"/>
      <c r="E26" s="81"/>
    </row>
    <row r="27" spans="2:6" ht="18" customHeight="1" x14ac:dyDescent="0.2">
      <c r="B27" s="81"/>
      <c r="E27" s="81"/>
    </row>
    <row r="28" spans="2:6" x14ac:dyDescent="0.2">
      <c r="B28" s="81"/>
      <c r="C28" s="81"/>
      <c r="D28" s="81"/>
      <c r="E28" s="81"/>
    </row>
    <row r="29" spans="2:6" x14ac:dyDescent="0.2">
      <c r="B29" s="81"/>
      <c r="C29" s="81"/>
      <c r="D29" s="81"/>
      <c r="E29" s="81"/>
    </row>
    <row r="30" spans="2:6" x14ac:dyDescent="0.2">
      <c r="B30" s="81"/>
      <c r="C30" s="81"/>
      <c r="D30" s="81"/>
      <c r="E30" s="81"/>
    </row>
    <row r="31" spans="2:6" x14ac:dyDescent="0.2">
      <c r="B31" s="81"/>
      <c r="C31" s="81"/>
      <c r="D31" s="81"/>
      <c r="E31" s="81"/>
    </row>
  </sheetData>
  <mergeCells count="4">
    <mergeCell ref="B6:B8"/>
    <mergeCell ref="C6:C8"/>
    <mergeCell ref="B4:F4"/>
    <mergeCell ref="B2:F2"/>
  </mergeCells>
  <pageMargins left="0.75" right="0.75" top="1" bottom="1" header="0.5" footer="0.5"/>
  <pageSetup paperSize="9" scale="97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2"/>
  <sheetViews>
    <sheetView showGridLines="0" view="pageBreakPreview" topLeftCell="A9" zoomScale="81" zoomScaleNormal="93" zoomScaleSheetLayoutView="81" workbookViewId="0">
      <selection activeCell="C26" sqref="C26:P26"/>
    </sheetView>
  </sheetViews>
  <sheetFormatPr defaultColWidth="9.28515625" defaultRowHeight="14.25" x14ac:dyDescent="0.2"/>
  <cols>
    <col min="1" max="1" width="4.28515625" style="5" customWidth="1"/>
    <col min="2" max="2" width="30.42578125" style="5" customWidth="1"/>
    <col min="3" max="15" width="10.7109375" style="5" customWidth="1"/>
    <col min="16" max="16384" width="9.28515625" style="5"/>
  </cols>
  <sheetData>
    <row r="1" spans="1:17" ht="15" x14ac:dyDescent="0.2">
      <c r="B1" s="88"/>
    </row>
    <row r="2" spans="1:17" ht="15" x14ac:dyDescent="0.2">
      <c r="I2" s="32" t="s">
        <v>298</v>
      </c>
    </row>
    <row r="3" spans="1:17" ht="15" x14ac:dyDescent="0.2">
      <c r="I3" s="32" t="s">
        <v>339</v>
      </c>
    </row>
    <row r="4" spans="1:17" ht="15" x14ac:dyDescent="0.2">
      <c r="C4" s="70"/>
      <c r="D4" s="70"/>
      <c r="E4" s="70"/>
      <c r="F4" s="70"/>
      <c r="G4" s="70"/>
      <c r="H4" s="70"/>
      <c r="I4" s="35" t="s">
        <v>266</v>
      </c>
    </row>
    <row r="5" spans="1:17" ht="15" x14ac:dyDescent="0.2">
      <c r="B5" s="24" t="s">
        <v>299</v>
      </c>
      <c r="C5" s="70"/>
      <c r="D5" s="70"/>
      <c r="E5" s="70"/>
      <c r="F5" s="70"/>
      <c r="G5" s="70"/>
      <c r="H5" s="70"/>
      <c r="I5" s="35"/>
    </row>
    <row r="6" spans="1:17" ht="15" x14ac:dyDescent="0.2">
      <c r="B6" s="24" t="s">
        <v>12</v>
      </c>
      <c r="C6" s="25"/>
      <c r="D6" s="25"/>
      <c r="O6" s="25" t="s">
        <v>124</v>
      </c>
    </row>
    <row r="7" spans="1:17" s="32" customFormat="1" ht="15" customHeight="1" x14ac:dyDescent="0.2">
      <c r="B7" s="174" t="s">
        <v>267</v>
      </c>
      <c r="C7" s="174" t="s">
        <v>125</v>
      </c>
      <c r="D7" s="174" t="s">
        <v>126</v>
      </c>
      <c r="E7" s="175" t="s">
        <v>127</v>
      </c>
      <c r="F7" s="175" t="s">
        <v>128</v>
      </c>
      <c r="G7" s="175" t="s">
        <v>129</v>
      </c>
      <c r="H7" s="175" t="s">
        <v>130</v>
      </c>
      <c r="I7" s="175" t="s">
        <v>131</v>
      </c>
      <c r="J7" s="175" t="s">
        <v>132</v>
      </c>
      <c r="K7" s="175" t="s">
        <v>133</v>
      </c>
      <c r="L7" s="175" t="s">
        <v>134</v>
      </c>
      <c r="M7" s="175" t="s">
        <v>135</v>
      </c>
      <c r="N7" s="175" t="s">
        <v>136</v>
      </c>
      <c r="O7" s="175" t="s">
        <v>123</v>
      </c>
    </row>
    <row r="8" spans="1:17" s="32" customFormat="1" ht="15" x14ac:dyDescent="0.2">
      <c r="B8" s="135" t="s">
        <v>340</v>
      </c>
      <c r="C8" s="134">
        <v>0</v>
      </c>
      <c r="D8" s="134">
        <v>0</v>
      </c>
      <c r="E8" s="134">
        <f>-0.01*0.7055</f>
        <v>-7.0550000000000005E-3</v>
      </c>
      <c r="F8" s="134">
        <v>0</v>
      </c>
      <c r="G8" s="134">
        <f>50.15*0.7055</f>
        <v>35.380825000000002</v>
      </c>
      <c r="H8" s="134">
        <f>67.65*0.7055</f>
        <v>47.727075000000006</v>
      </c>
      <c r="I8" s="134">
        <f>76.58*0.7055</f>
        <v>54.027189999999997</v>
      </c>
      <c r="J8" s="134">
        <f>29.12*0.7055</f>
        <v>20.544160000000002</v>
      </c>
      <c r="K8" s="134">
        <f>12.89*0.7055</f>
        <v>9.0938949999999998</v>
      </c>
      <c r="L8" s="134">
        <f>12.73*0.7055</f>
        <v>8.9810150000000011</v>
      </c>
      <c r="M8" s="134">
        <f>11.3*0.7055</f>
        <v>7.972150000000001</v>
      </c>
      <c r="N8" s="134">
        <f>3.77*0.7055</f>
        <v>2.659735</v>
      </c>
      <c r="O8" s="176">
        <f>SUM(C8:N8)</f>
        <v>186.37899000000004</v>
      </c>
    </row>
    <row r="9" spans="1:17" s="32" customFormat="1" ht="15" x14ac:dyDescent="0.2">
      <c r="B9" s="135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6"/>
    </row>
    <row r="10" spans="1:17" s="32" customFormat="1" ht="15" x14ac:dyDescent="0.2">
      <c r="B10" s="135" t="s">
        <v>341</v>
      </c>
      <c r="C10" s="134">
        <v>0</v>
      </c>
      <c r="D10" s="134">
        <v>0</v>
      </c>
      <c r="E10" s="134">
        <f>-0.01*0.2945</f>
        <v>-2.9449999999999997E-3</v>
      </c>
      <c r="F10" s="134">
        <v>0</v>
      </c>
      <c r="G10" s="134">
        <f>50.15*0.2945</f>
        <v>14.769174999999999</v>
      </c>
      <c r="H10" s="134">
        <f>67.65*0.2945</f>
        <v>19.922924999999999</v>
      </c>
      <c r="I10" s="134">
        <f>76.58*0.2945</f>
        <v>22.552809999999997</v>
      </c>
      <c r="J10" s="134">
        <f>29.12*0.2945</f>
        <v>8.5758399999999995</v>
      </c>
      <c r="K10" s="134">
        <f>12.89*0.2945</f>
        <v>3.7961049999999998</v>
      </c>
      <c r="L10" s="134">
        <f>12.73*0.2945</f>
        <v>3.7489849999999998</v>
      </c>
      <c r="M10" s="134">
        <f>11.3*0.2945</f>
        <v>3.3278500000000002</v>
      </c>
      <c r="N10" s="134">
        <f>3.77*0.2945</f>
        <v>1.1102649999999998</v>
      </c>
      <c r="O10" s="176">
        <f>SUM(C10:N10)</f>
        <v>77.801009999999991</v>
      </c>
    </row>
    <row r="11" spans="1:17" x14ac:dyDescent="0.2">
      <c r="B11" s="178"/>
      <c r="C11" s="179"/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9"/>
    </row>
    <row r="12" spans="1:17" ht="15" x14ac:dyDescent="0.2">
      <c r="B12" s="177" t="s">
        <v>123</v>
      </c>
      <c r="C12" s="180">
        <f>C8+C10</f>
        <v>0</v>
      </c>
      <c r="D12" s="180">
        <f t="shared" ref="D12:O12" si="0">D8+D10</f>
        <v>0</v>
      </c>
      <c r="E12" s="180">
        <f t="shared" si="0"/>
        <v>-0.01</v>
      </c>
      <c r="F12" s="180">
        <f t="shared" si="0"/>
        <v>0</v>
      </c>
      <c r="G12" s="180">
        <f t="shared" si="0"/>
        <v>50.15</v>
      </c>
      <c r="H12" s="180">
        <f t="shared" si="0"/>
        <v>67.650000000000006</v>
      </c>
      <c r="I12" s="180">
        <f t="shared" si="0"/>
        <v>76.58</v>
      </c>
      <c r="J12" s="180">
        <f t="shared" si="0"/>
        <v>29.12</v>
      </c>
      <c r="K12" s="180">
        <f t="shared" si="0"/>
        <v>12.89</v>
      </c>
      <c r="L12" s="180">
        <f t="shared" si="0"/>
        <v>12.73</v>
      </c>
      <c r="M12" s="180">
        <f t="shared" si="0"/>
        <v>11.3</v>
      </c>
      <c r="N12" s="180">
        <f>N8+N10</f>
        <v>3.7699999999999996</v>
      </c>
      <c r="O12" s="180">
        <f t="shared" si="0"/>
        <v>264.18000000000006</v>
      </c>
    </row>
    <row r="13" spans="1:17" ht="16.5" x14ac:dyDescent="0.2">
      <c r="B13" s="24"/>
      <c r="C13" s="70"/>
      <c r="D13" s="70"/>
      <c r="E13" s="70"/>
      <c r="F13" s="70"/>
      <c r="G13" s="70"/>
      <c r="H13" s="70"/>
      <c r="I13" s="83"/>
    </row>
    <row r="14" spans="1:17" ht="16.5" x14ac:dyDescent="0.2">
      <c r="B14" s="24" t="s">
        <v>300</v>
      </c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35"/>
      <c r="P14" s="83"/>
    </row>
    <row r="15" spans="1:17" ht="16.5" x14ac:dyDescent="0.2">
      <c r="A15" s="5" t="s">
        <v>265</v>
      </c>
      <c r="B15" s="24" t="s">
        <v>5</v>
      </c>
      <c r="C15" s="25"/>
      <c r="D15" s="25"/>
      <c r="O15" s="25"/>
      <c r="P15" s="83"/>
    </row>
    <row r="16" spans="1:17" ht="18.75" customHeight="1" x14ac:dyDescent="0.2">
      <c r="B16" s="227" t="s">
        <v>267</v>
      </c>
      <c r="C16" s="246" t="s">
        <v>137</v>
      </c>
      <c r="D16" s="242"/>
      <c r="E16" s="242"/>
      <c r="F16" s="242"/>
      <c r="G16" s="242"/>
      <c r="H16" s="243"/>
      <c r="I16" s="246" t="s">
        <v>5</v>
      </c>
      <c r="J16" s="242"/>
      <c r="K16" s="242"/>
      <c r="L16" s="242"/>
      <c r="M16" s="242"/>
      <c r="N16" s="243"/>
      <c r="O16" s="174" t="s">
        <v>138</v>
      </c>
      <c r="P16" s="83"/>
      <c r="Q16" s="83"/>
    </row>
    <row r="17" spans="2:16" ht="15" x14ac:dyDescent="0.2">
      <c r="B17" s="229"/>
      <c r="C17" s="174" t="s">
        <v>125</v>
      </c>
      <c r="D17" s="174" t="s">
        <v>126</v>
      </c>
      <c r="E17" s="175" t="s">
        <v>127</v>
      </c>
      <c r="F17" s="175" t="s">
        <v>128</v>
      </c>
      <c r="G17" s="175" t="s">
        <v>129</v>
      </c>
      <c r="H17" s="175" t="s">
        <v>130</v>
      </c>
      <c r="I17" s="175" t="s">
        <v>131</v>
      </c>
      <c r="J17" s="175" t="s">
        <v>132</v>
      </c>
      <c r="K17" s="175" t="s">
        <v>133</v>
      </c>
      <c r="L17" s="175" t="s">
        <v>134</v>
      </c>
      <c r="M17" s="175" t="s">
        <v>135</v>
      </c>
      <c r="N17" s="175" t="s">
        <v>136</v>
      </c>
      <c r="O17" s="181"/>
    </row>
    <row r="18" spans="2:16" s="32" customFormat="1" ht="15" x14ac:dyDescent="0.2">
      <c r="B18" s="135" t="s">
        <v>340</v>
      </c>
      <c r="C18" s="134">
        <f>8.51*0.7055</f>
        <v>6.0038049999999998</v>
      </c>
      <c r="D18" s="134">
        <f>1.99*0.7055</f>
        <v>1.403945</v>
      </c>
      <c r="E18" s="134">
        <f>1.87*0.7055</f>
        <v>1.319285</v>
      </c>
      <c r="F18" s="134">
        <f>15.19*0.7055</f>
        <v>10.716545</v>
      </c>
      <c r="G18" s="134">
        <f>63.65*0.7055</f>
        <v>44.905074999999997</v>
      </c>
      <c r="H18" s="134">
        <f>60.59*0.7055</f>
        <v>42.746245000000002</v>
      </c>
      <c r="I18" s="134">
        <v>35.421189642930997</v>
      </c>
      <c r="J18" s="134">
        <v>21.361797095057096</v>
      </c>
      <c r="K18" s="134">
        <v>9.4868785403422944</v>
      </c>
      <c r="L18" s="134">
        <v>10.584029199502856</v>
      </c>
      <c r="M18" s="134">
        <v>9.0811504015100439</v>
      </c>
      <c r="N18" s="134">
        <v>7.8127235038113012</v>
      </c>
      <c r="O18" s="134">
        <f>SUM(C18:N18)</f>
        <v>200.84266838315455</v>
      </c>
    </row>
    <row r="19" spans="2:16" s="32" customFormat="1" ht="15" x14ac:dyDescent="0.2">
      <c r="B19" s="135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</row>
    <row r="20" spans="2:16" s="32" customFormat="1" ht="15" x14ac:dyDescent="0.2">
      <c r="B20" s="135" t="s">
        <v>341</v>
      </c>
      <c r="C20" s="134">
        <f>8.51*0.2945</f>
        <v>2.506195</v>
      </c>
      <c r="D20" s="134">
        <f>1.99*0.2945</f>
        <v>0.58605499999999999</v>
      </c>
      <c r="E20" s="134">
        <f>1.87*0.2945</f>
        <v>0.55071499999999995</v>
      </c>
      <c r="F20" s="134">
        <f>15.19*0.2945</f>
        <v>4.4734549999999995</v>
      </c>
      <c r="G20" s="134">
        <f>63.65*0.2945</f>
        <v>18.744924999999999</v>
      </c>
      <c r="H20" s="134">
        <f>60.59*0.2945</f>
        <v>17.843755000000002</v>
      </c>
      <c r="I20" s="134">
        <v>14.786024592265314</v>
      </c>
      <c r="J20" s="134">
        <v>8.9171498858884686</v>
      </c>
      <c r="K20" s="134">
        <v>3.9601498655291358</v>
      </c>
      <c r="L20" s="134">
        <v>4.4181383405437149</v>
      </c>
      <c r="M20" s="134">
        <v>3.790784965619713</v>
      </c>
      <c r="N20" s="134">
        <v>3.2612998892592886</v>
      </c>
      <c r="O20" s="134">
        <f>SUM(C20:N20)</f>
        <v>83.838647539105636</v>
      </c>
    </row>
    <row r="21" spans="2:16" s="32" customFormat="1" ht="15" x14ac:dyDescent="0.2">
      <c r="B21" s="178"/>
      <c r="C21" s="177"/>
      <c r="D21" s="177"/>
      <c r="E21" s="177"/>
      <c r="F21" s="177"/>
      <c r="G21" s="177"/>
      <c r="H21" s="177"/>
      <c r="I21" s="177"/>
      <c r="J21" s="177"/>
      <c r="K21" s="177"/>
      <c r="L21" s="177"/>
      <c r="M21" s="177"/>
      <c r="N21" s="177"/>
      <c r="O21" s="177"/>
    </row>
    <row r="22" spans="2:16" ht="15" x14ac:dyDescent="0.2">
      <c r="B22" s="177" t="s">
        <v>123</v>
      </c>
      <c r="C22" s="180">
        <f>C18+C20</f>
        <v>8.51</v>
      </c>
      <c r="D22" s="180">
        <f t="shared" ref="D22:N22" si="1">D18+D20</f>
        <v>1.99</v>
      </c>
      <c r="E22" s="180">
        <f t="shared" si="1"/>
        <v>1.87</v>
      </c>
      <c r="F22" s="180">
        <f t="shared" si="1"/>
        <v>15.19</v>
      </c>
      <c r="G22" s="180">
        <f t="shared" si="1"/>
        <v>63.649999999999991</v>
      </c>
      <c r="H22" s="180">
        <f>H18+H20</f>
        <v>60.59</v>
      </c>
      <c r="I22" s="180">
        <f t="shared" si="1"/>
        <v>50.207214235196311</v>
      </c>
      <c r="J22" s="180">
        <f t="shared" si="1"/>
        <v>30.278946980945562</v>
      </c>
      <c r="K22" s="180">
        <f t="shared" si="1"/>
        <v>13.44702840587143</v>
      </c>
      <c r="L22" s="180">
        <f>L18+L20</f>
        <v>15.002167540046571</v>
      </c>
      <c r="M22" s="180">
        <f t="shared" si="1"/>
        <v>12.871935367129757</v>
      </c>
      <c r="N22" s="180">
        <f t="shared" si="1"/>
        <v>11.07402339307059</v>
      </c>
      <c r="O22" s="180">
        <f>O18+O20</f>
        <v>284.68131592226018</v>
      </c>
    </row>
    <row r="24" spans="2:16" ht="16.5" x14ac:dyDescent="0.2">
      <c r="B24" s="24"/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35"/>
      <c r="P24" s="83"/>
    </row>
    <row r="25" spans="2:16" ht="15" x14ac:dyDescent="0.2">
      <c r="B25" s="24" t="s">
        <v>326</v>
      </c>
      <c r="C25" s="70"/>
      <c r="D25" s="70"/>
      <c r="E25" s="70"/>
      <c r="F25" s="70"/>
      <c r="G25" s="70"/>
      <c r="H25" s="70"/>
      <c r="I25" s="35"/>
    </row>
    <row r="26" spans="2:16" ht="15" x14ac:dyDescent="0.2">
      <c r="B26" s="24" t="s">
        <v>8</v>
      </c>
      <c r="C26" s="25"/>
      <c r="D26" s="25"/>
      <c r="O26" s="25"/>
    </row>
    <row r="27" spans="2:16" ht="15" x14ac:dyDescent="0.2">
      <c r="B27" s="174" t="s">
        <v>267</v>
      </c>
      <c r="C27" s="174" t="s">
        <v>125</v>
      </c>
      <c r="D27" s="174" t="s">
        <v>126</v>
      </c>
      <c r="E27" s="175" t="s">
        <v>127</v>
      </c>
      <c r="F27" s="175" t="s">
        <v>128</v>
      </c>
      <c r="G27" s="175" t="s">
        <v>129</v>
      </c>
      <c r="H27" s="175" t="s">
        <v>130</v>
      </c>
      <c r="I27" s="175" t="s">
        <v>131</v>
      </c>
      <c r="J27" s="175" t="s">
        <v>132</v>
      </c>
      <c r="K27" s="175" t="s">
        <v>133</v>
      </c>
      <c r="L27" s="175" t="s">
        <v>134</v>
      </c>
      <c r="M27" s="175" t="s">
        <v>135</v>
      </c>
      <c r="N27" s="175" t="s">
        <v>136</v>
      </c>
      <c r="O27" s="175" t="s">
        <v>123</v>
      </c>
    </row>
    <row r="28" spans="2:16" ht="15" x14ac:dyDescent="0.2">
      <c r="B28" s="135" t="s">
        <v>340</v>
      </c>
      <c r="C28" s="134">
        <v>6.6561735688234611</v>
      </c>
      <c r="D28" s="134">
        <v>1.9471799999999999</v>
      </c>
      <c r="E28" s="134">
        <v>2.758505</v>
      </c>
      <c r="F28" s="134">
        <v>11.13279</v>
      </c>
      <c r="G28" s="134">
        <v>33.624130000000001</v>
      </c>
      <c r="H28" s="134">
        <v>31.317145</v>
      </c>
      <c r="I28" s="134">
        <v>36.678944999999999</v>
      </c>
      <c r="J28" s="134">
        <v>21.665905000000002</v>
      </c>
      <c r="K28" s="134">
        <v>9.7993950000000005</v>
      </c>
      <c r="L28" s="134">
        <v>9.615965000000001</v>
      </c>
      <c r="M28" s="134">
        <v>8.3954500000000003</v>
      </c>
      <c r="N28" s="134">
        <v>6.208400000000001</v>
      </c>
      <c r="O28" s="134">
        <f>SUM(C28:N28)</f>
        <v>179.79998356882348</v>
      </c>
    </row>
    <row r="29" spans="2:16" ht="15" x14ac:dyDescent="0.2">
      <c r="B29" s="135"/>
      <c r="C29" s="134"/>
      <c r="D29" s="134"/>
      <c r="E29" s="134"/>
      <c r="F29" s="134"/>
      <c r="G29" s="134"/>
      <c r="H29" s="134"/>
      <c r="I29" s="134"/>
      <c r="J29" s="134"/>
      <c r="K29" s="134"/>
      <c r="L29" s="134"/>
      <c r="M29" s="134"/>
      <c r="N29" s="134"/>
      <c r="O29" s="177"/>
    </row>
    <row r="30" spans="2:16" ht="15" x14ac:dyDescent="0.2">
      <c r="B30" s="135" t="s">
        <v>341</v>
      </c>
      <c r="C30" s="134">
        <v>2.7785161105861222</v>
      </c>
      <c r="D30" s="134">
        <v>0.81186599433792805</v>
      </c>
      <c r="E30" s="134">
        <v>1.1518531977429809</v>
      </c>
      <c r="F30" s="134">
        <v>4.648445729313913</v>
      </c>
      <c r="G30" s="134">
        <v>14.036195837127572</v>
      </c>
      <c r="H30" s="134">
        <v>13.071921786090828</v>
      </c>
      <c r="I30" s="134">
        <v>15.311147849896521</v>
      </c>
      <c r="J30" s="134">
        <v>9.0448319802413213</v>
      </c>
      <c r="K30" s="134">
        <v>4.0915701375297742</v>
      </c>
      <c r="L30" s="134">
        <v>4.0153661091803663</v>
      </c>
      <c r="M30" s="134">
        <v>3.5053853040727874</v>
      </c>
      <c r="N30" s="134">
        <v>2.5909369638798858</v>
      </c>
      <c r="O30" s="134">
        <f>SUM(C30:N30)</f>
        <v>75.058036999999999</v>
      </c>
    </row>
    <row r="31" spans="2:16" x14ac:dyDescent="0.2">
      <c r="B31" s="178"/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</row>
    <row r="32" spans="2:16" ht="15" x14ac:dyDescent="0.2">
      <c r="B32" s="177" t="s">
        <v>123</v>
      </c>
      <c r="C32" s="180">
        <f>C28+C30</f>
        <v>9.4346896794095834</v>
      </c>
      <c r="D32" s="180">
        <f t="shared" ref="D32:N32" si="2">D28+D30</f>
        <v>2.759045994337928</v>
      </c>
      <c r="E32" s="180">
        <f t="shared" si="2"/>
        <v>3.9103581977429807</v>
      </c>
      <c r="F32" s="180">
        <f t="shared" si="2"/>
        <v>15.781235729313913</v>
      </c>
      <c r="G32" s="180">
        <f t="shared" si="2"/>
        <v>47.660325837127573</v>
      </c>
      <c r="H32" s="180">
        <f t="shared" si="2"/>
        <v>44.389066786090829</v>
      </c>
      <c r="I32" s="180">
        <f t="shared" si="2"/>
        <v>51.99009284989652</v>
      </c>
      <c r="J32" s="180">
        <f t="shared" si="2"/>
        <v>30.710736980241322</v>
      </c>
      <c r="K32" s="180">
        <f>K28+K30</f>
        <v>13.890965137529776</v>
      </c>
      <c r="L32" s="180">
        <f t="shared" si="2"/>
        <v>13.631331109180367</v>
      </c>
      <c r="M32" s="180">
        <f t="shared" si="2"/>
        <v>11.900835304072787</v>
      </c>
      <c r="N32" s="180">
        <f t="shared" si="2"/>
        <v>8.7993369638798864</v>
      </c>
      <c r="O32" s="180">
        <f>O28+O30</f>
        <v>254.85802056882346</v>
      </c>
    </row>
  </sheetData>
  <mergeCells count="3">
    <mergeCell ref="B16:B17"/>
    <mergeCell ref="I16:N16"/>
    <mergeCell ref="C16:H16"/>
  </mergeCells>
  <pageMargins left="0.13" right="0.33" top="1" bottom="0.37" header="0.5" footer="0.5"/>
  <pageSetup paperSize="9" scale="83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9"/>
  <sheetViews>
    <sheetView showGridLines="0" view="pageBreakPreview" topLeftCell="G18" zoomScaleNormal="93" zoomScaleSheetLayoutView="100" workbookViewId="0">
      <selection activeCell="D28" sqref="D28:O28"/>
    </sheetView>
  </sheetViews>
  <sheetFormatPr defaultRowHeight="12.75" x14ac:dyDescent="0.2"/>
  <cols>
    <col min="1" max="1" width="7.28515625" customWidth="1"/>
    <col min="2" max="2" width="36.28515625" customWidth="1"/>
    <col min="3" max="3" width="11" customWidth="1"/>
    <col min="4" max="4" width="8.140625" customWidth="1"/>
    <col min="5" max="5" width="7.7109375" customWidth="1"/>
    <col min="6" max="6" width="7.85546875" customWidth="1"/>
    <col min="7" max="7" width="7.7109375" customWidth="1"/>
    <col min="8" max="8" width="8.28515625" customWidth="1"/>
    <col min="9" max="9" width="7.85546875" customWidth="1"/>
  </cols>
  <sheetData>
    <row r="1" spans="1:16" ht="21.75" customHeight="1" x14ac:dyDescent="0.3">
      <c r="A1" s="247" t="s">
        <v>342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</row>
    <row r="2" spans="1:16" ht="17.25" x14ac:dyDescent="0.2">
      <c r="A2" s="189"/>
      <c r="B2" s="189"/>
      <c r="C2" s="189"/>
      <c r="D2" s="189"/>
      <c r="E2" s="189"/>
      <c r="F2" s="189"/>
      <c r="G2" s="189"/>
      <c r="H2" s="190" t="s">
        <v>343</v>
      </c>
      <c r="I2" s="189"/>
      <c r="J2" s="189"/>
      <c r="K2" s="189"/>
      <c r="L2" s="189"/>
      <c r="M2" s="189"/>
      <c r="N2" s="189"/>
      <c r="O2" s="189"/>
      <c r="P2" s="189"/>
    </row>
    <row r="3" spans="1:16" ht="17.25" x14ac:dyDescent="0.2">
      <c r="A3" s="189"/>
      <c r="B3" s="189"/>
      <c r="C3" s="189"/>
      <c r="D3" s="189"/>
      <c r="E3" s="189"/>
      <c r="F3" s="189"/>
      <c r="G3" s="189"/>
      <c r="H3" s="191" t="s">
        <v>270</v>
      </c>
      <c r="I3" s="189"/>
      <c r="J3" s="189"/>
      <c r="K3" s="189"/>
      <c r="L3" s="189"/>
      <c r="M3" s="189"/>
      <c r="N3" s="189"/>
      <c r="O3" s="189"/>
      <c r="P3" s="189"/>
    </row>
    <row r="4" spans="1:16" ht="17.25" x14ac:dyDescent="0.2">
      <c r="A4" s="192" t="s">
        <v>344</v>
      </c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</row>
    <row r="5" spans="1:16" ht="17.25" x14ac:dyDescent="0.2">
      <c r="A5" s="193" t="s">
        <v>12</v>
      </c>
      <c r="B5" s="189"/>
      <c r="C5" s="189"/>
      <c r="D5" s="189"/>
      <c r="E5" s="189"/>
      <c r="F5" s="189"/>
      <c r="G5" s="189"/>
      <c r="H5" s="189"/>
      <c r="I5" s="189"/>
      <c r="J5" s="189"/>
      <c r="K5" s="189"/>
      <c r="L5" s="189"/>
      <c r="M5" s="189"/>
      <c r="N5" s="189"/>
      <c r="O5" s="189"/>
      <c r="P5" s="189"/>
    </row>
    <row r="6" spans="1:16" ht="17.25" x14ac:dyDescent="0.2">
      <c r="A6" s="194" t="s">
        <v>164</v>
      </c>
      <c r="B6" s="194" t="s">
        <v>14</v>
      </c>
      <c r="C6" s="194" t="s">
        <v>35</v>
      </c>
      <c r="D6" s="195" t="s">
        <v>125</v>
      </c>
      <c r="E6" s="195" t="s">
        <v>126</v>
      </c>
      <c r="F6" s="196" t="s">
        <v>127</v>
      </c>
      <c r="G6" s="196" t="s">
        <v>128</v>
      </c>
      <c r="H6" s="196" t="s">
        <v>129</v>
      </c>
      <c r="I6" s="196" t="s">
        <v>130</v>
      </c>
      <c r="J6" s="196" t="s">
        <v>131</v>
      </c>
      <c r="K6" s="196" t="s">
        <v>132</v>
      </c>
      <c r="L6" s="196" t="s">
        <v>133</v>
      </c>
      <c r="M6" s="196" t="s">
        <v>134</v>
      </c>
      <c r="N6" s="196" t="s">
        <v>135</v>
      </c>
      <c r="O6" s="196" t="s">
        <v>136</v>
      </c>
      <c r="P6" s="197" t="s">
        <v>123</v>
      </c>
    </row>
    <row r="7" spans="1:16" ht="22.5" customHeight="1" x14ac:dyDescent="0.2">
      <c r="A7" s="198">
        <v>1</v>
      </c>
      <c r="B7" s="199" t="s">
        <v>147</v>
      </c>
      <c r="C7" s="198" t="s">
        <v>36</v>
      </c>
      <c r="D7" s="161"/>
      <c r="E7" s="161"/>
      <c r="F7" s="161"/>
      <c r="G7" s="161"/>
      <c r="H7" s="161"/>
      <c r="I7" s="161"/>
      <c r="J7" s="161"/>
      <c r="K7" s="161"/>
      <c r="L7" s="161"/>
      <c r="M7" s="161"/>
      <c r="N7" s="161"/>
      <c r="O7" s="161"/>
      <c r="P7" s="161"/>
    </row>
    <row r="8" spans="1:16" ht="24" customHeight="1" x14ac:dyDescent="0.2">
      <c r="A8" s="198">
        <f t="shared" ref="A8:A25" si="0">A7+1</f>
        <v>2</v>
      </c>
      <c r="B8" s="199" t="s">
        <v>165</v>
      </c>
      <c r="C8" s="198" t="s">
        <v>36</v>
      </c>
      <c r="D8" s="161"/>
      <c r="E8" s="161"/>
      <c r="F8" s="161"/>
      <c r="G8" s="161"/>
      <c r="H8" s="161"/>
      <c r="I8" s="161"/>
      <c r="J8" s="161"/>
      <c r="K8" s="161"/>
      <c r="L8" s="161"/>
      <c r="M8" s="161"/>
      <c r="N8" s="161"/>
      <c r="O8" s="161"/>
      <c r="P8" s="161"/>
    </row>
    <row r="9" spans="1:16" ht="20.25" customHeight="1" x14ac:dyDescent="0.2">
      <c r="A9" s="198">
        <f t="shared" si="0"/>
        <v>3</v>
      </c>
      <c r="B9" s="199" t="s">
        <v>166</v>
      </c>
      <c r="C9" s="198" t="s">
        <v>36</v>
      </c>
      <c r="D9" s="161"/>
      <c r="E9" s="161"/>
      <c r="F9" s="161"/>
      <c r="G9" s="161"/>
      <c r="H9" s="161"/>
      <c r="I9" s="161"/>
      <c r="J9" s="161"/>
      <c r="K9" s="161"/>
      <c r="L9" s="161"/>
      <c r="M9" s="161"/>
      <c r="N9" s="161"/>
      <c r="O9" s="161"/>
      <c r="P9" s="161"/>
    </row>
    <row r="10" spans="1:16" ht="20.25" customHeight="1" x14ac:dyDescent="0.2">
      <c r="A10" s="198">
        <f t="shared" si="0"/>
        <v>4</v>
      </c>
      <c r="B10" s="199" t="s">
        <v>37</v>
      </c>
      <c r="C10" s="198" t="s">
        <v>36</v>
      </c>
      <c r="D10" s="161"/>
      <c r="E10" s="161"/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</row>
    <row r="11" spans="1:16" ht="21.75" customHeight="1" x14ac:dyDescent="0.2">
      <c r="A11" s="198">
        <f t="shared" si="0"/>
        <v>5</v>
      </c>
      <c r="B11" s="199" t="s">
        <v>167</v>
      </c>
      <c r="C11" s="198" t="s">
        <v>36</v>
      </c>
      <c r="D11" s="161"/>
      <c r="E11" s="161"/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</row>
    <row r="12" spans="1:16" ht="18" customHeight="1" x14ac:dyDescent="0.2">
      <c r="A12" s="198">
        <f t="shared" si="0"/>
        <v>6</v>
      </c>
      <c r="B12" s="199" t="s">
        <v>168</v>
      </c>
      <c r="C12" s="198" t="s">
        <v>36</v>
      </c>
      <c r="D12" s="161"/>
      <c r="E12" s="161"/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161"/>
    </row>
    <row r="13" spans="1:16" ht="23.25" customHeight="1" x14ac:dyDescent="0.2">
      <c r="A13" s="198">
        <f t="shared" si="0"/>
        <v>7</v>
      </c>
      <c r="B13" s="200" t="s">
        <v>169</v>
      </c>
      <c r="C13" s="201" t="s">
        <v>38</v>
      </c>
      <c r="D13" s="161">
        <v>0</v>
      </c>
      <c r="E13" s="161">
        <v>0</v>
      </c>
      <c r="F13" s="161">
        <v>0</v>
      </c>
      <c r="G13" s="161">
        <v>0</v>
      </c>
      <c r="H13" s="161">
        <v>51.04</v>
      </c>
      <c r="I13" s="161">
        <v>68.760000000000005</v>
      </c>
      <c r="J13" s="161">
        <v>77.790000000000006</v>
      </c>
      <c r="K13" s="161">
        <v>29.29</v>
      </c>
      <c r="L13" s="161">
        <v>13.42</v>
      </c>
      <c r="M13" s="161">
        <v>12.98</v>
      </c>
      <c r="N13" s="161">
        <v>11.49</v>
      </c>
      <c r="O13" s="161">
        <v>3.83</v>
      </c>
      <c r="P13" s="161">
        <f>SUM(D13:O13)</f>
        <v>268.59999999999997</v>
      </c>
    </row>
    <row r="14" spans="1:16" ht="23.25" customHeight="1" x14ac:dyDescent="0.2">
      <c r="A14" s="198">
        <f t="shared" si="0"/>
        <v>8</v>
      </c>
      <c r="B14" s="200" t="s">
        <v>170</v>
      </c>
      <c r="C14" s="201" t="s">
        <v>38</v>
      </c>
      <c r="D14" s="161">
        <v>0</v>
      </c>
      <c r="E14" s="161">
        <v>0</v>
      </c>
      <c r="F14" s="161">
        <v>0.01</v>
      </c>
      <c r="G14" s="161">
        <v>0</v>
      </c>
      <c r="H14" s="161">
        <v>0.89</v>
      </c>
      <c r="I14" s="161">
        <v>1.1100000000000001</v>
      </c>
      <c r="J14" s="161">
        <v>1.21</v>
      </c>
      <c r="K14" s="161">
        <v>0.16</v>
      </c>
      <c r="L14" s="161">
        <v>0.53</v>
      </c>
      <c r="M14" s="161">
        <v>0.25</v>
      </c>
      <c r="N14" s="161">
        <v>0.19</v>
      </c>
      <c r="O14" s="161">
        <v>0.06</v>
      </c>
      <c r="P14" s="161">
        <f t="shared" ref="P14:P15" si="1">SUM(D14:O14)</f>
        <v>4.41</v>
      </c>
    </row>
    <row r="15" spans="1:16" ht="18" customHeight="1" x14ac:dyDescent="0.2">
      <c r="A15" s="198">
        <f t="shared" si="0"/>
        <v>9</v>
      </c>
      <c r="B15" s="200" t="s">
        <v>183</v>
      </c>
      <c r="C15" s="201" t="s">
        <v>38</v>
      </c>
      <c r="D15" s="161">
        <v>0</v>
      </c>
      <c r="E15" s="161">
        <v>0</v>
      </c>
      <c r="F15" s="161">
        <v>-0.01</v>
      </c>
      <c r="G15" s="161">
        <v>0</v>
      </c>
      <c r="H15" s="161">
        <v>50.15</v>
      </c>
      <c r="I15" s="161">
        <v>67.650000000000006</v>
      </c>
      <c r="J15" s="161">
        <v>76.580000000000013</v>
      </c>
      <c r="K15" s="161">
        <v>29.13</v>
      </c>
      <c r="L15" s="161">
        <v>12.89</v>
      </c>
      <c r="M15" s="161">
        <v>12.73</v>
      </c>
      <c r="N15" s="161">
        <v>11.3</v>
      </c>
      <c r="O15" s="161">
        <v>3.77</v>
      </c>
      <c r="P15" s="161">
        <f t="shared" si="1"/>
        <v>264.18999999999994</v>
      </c>
    </row>
    <row r="16" spans="1:16" ht="21.75" customHeight="1" x14ac:dyDescent="0.2">
      <c r="A16" s="198">
        <f t="shared" si="0"/>
        <v>10</v>
      </c>
      <c r="B16" s="200" t="s">
        <v>184</v>
      </c>
      <c r="C16" s="201" t="s">
        <v>38</v>
      </c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3"/>
    </row>
    <row r="17" spans="1:16" ht="20.25" customHeight="1" x14ac:dyDescent="0.2">
      <c r="A17" s="198">
        <f t="shared" si="0"/>
        <v>11</v>
      </c>
      <c r="B17" s="200" t="s">
        <v>171</v>
      </c>
      <c r="C17" s="201" t="s">
        <v>175</v>
      </c>
      <c r="D17" s="164">
        <v>0</v>
      </c>
      <c r="E17" s="164">
        <v>0</v>
      </c>
      <c r="F17" s="164">
        <v>0</v>
      </c>
      <c r="G17" s="164">
        <v>0</v>
      </c>
      <c r="H17" s="164">
        <v>0</v>
      </c>
      <c r="I17" s="164">
        <v>0</v>
      </c>
      <c r="J17" s="164">
        <v>0</v>
      </c>
      <c r="K17" s="164">
        <v>0</v>
      </c>
      <c r="L17" s="164">
        <v>0</v>
      </c>
      <c r="M17" s="164">
        <v>0</v>
      </c>
      <c r="N17" s="164">
        <v>0</v>
      </c>
      <c r="O17" s="164">
        <v>0</v>
      </c>
      <c r="P17" s="164">
        <v>0</v>
      </c>
    </row>
    <row r="18" spans="1:16" ht="21" customHeight="1" x14ac:dyDescent="0.2">
      <c r="A18" s="198">
        <f t="shared" si="0"/>
        <v>12</v>
      </c>
      <c r="B18" s="200" t="s">
        <v>185</v>
      </c>
      <c r="C18" s="201" t="s">
        <v>176</v>
      </c>
      <c r="D18" s="165">
        <v>7.1933332999999999</v>
      </c>
      <c r="E18" s="165">
        <v>7.1933332999999999</v>
      </c>
      <c r="F18" s="165">
        <v>7.1933332999999999</v>
      </c>
      <c r="G18" s="165">
        <v>7.1933332999999999</v>
      </c>
      <c r="H18" s="165">
        <v>7.1933332999999999</v>
      </c>
      <c r="I18" s="165">
        <v>7.1933332999999999</v>
      </c>
      <c r="J18" s="165">
        <v>7.1933332999999999</v>
      </c>
      <c r="K18" s="165">
        <v>7.1933332999999999</v>
      </c>
      <c r="L18" s="165">
        <v>7.1933332999999999</v>
      </c>
      <c r="M18" s="165">
        <v>7.1933332999999999</v>
      </c>
      <c r="N18" s="165">
        <v>7.1933332999999999</v>
      </c>
      <c r="O18" s="165">
        <v>7.1933332999999999</v>
      </c>
      <c r="P18" s="165">
        <f>SUM(D18:O18)</f>
        <v>86.319999600000017</v>
      </c>
    </row>
    <row r="19" spans="1:16" ht="18.75" customHeight="1" x14ac:dyDescent="0.2">
      <c r="A19" s="198">
        <f t="shared" si="0"/>
        <v>13</v>
      </c>
      <c r="B19" s="200" t="s">
        <v>268</v>
      </c>
      <c r="C19" s="201" t="s">
        <v>175</v>
      </c>
      <c r="D19" s="164">
        <v>0</v>
      </c>
      <c r="E19" s="164">
        <v>0</v>
      </c>
      <c r="F19" s="164">
        <v>0</v>
      </c>
      <c r="G19" s="164">
        <v>0</v>
      </c>
      <c r="H19" s="164">
        <v>0</v>
      </c>
      <c r="I19" s="164">
        <v>0</v>
      </c>
      <c r="J19" s="164">
        <v>0</v>
      </c>
      <c r="K19" s="164">
        <v>0</v>
      </c>
      <c r="L19" s="164">
        <v>0</v>
      </c>
      <c r="M19" s="164">
        <v>0</v>
      </c>
      <c r="N19" s="164">
        <v>0</v>
      </c>
      <c r="O19" s="164">
        <v>0</v>
      </c>
      <c r="P19" s="164">
        <v>0</v>
      </c>
    </row>
    <row r="20" spans="1:16" ht="20.25" customHeight="1" x14ac:dyDescent="0.2">
      <c r="A20" s="198">
        <f t="shared" si="0"/>
        <v>14</v>
      </c>
      <c r="B20" s="200" t="s">
        <v>172</v>
      </c>
      <c r="C20" s="201" t="s">
        <v>176</v>
      </c>
      <c r="D20" s="165">
        <f>D18</f>
        <v>7.1933332999999999</v>
      </c>
      <c r="E20" s="165">
        <f t="shared" ref="E20:O20" si="2">E18</f>
        <v>7.1933332999999999</v>
      </c>
      <c r="F20" s="165">
        <f t="shared" si="2"/>
        <v>7.1933332999999999</v>
      </c>
      <c r="G20" s="165">
        <f t="shared" si="2"/>
        <v>7.1933332999999999</v>
      </c>
      <c r="H20" s="165">
        <f t="shared" si="2"/>
        <v>7.1933332999999999</v>
      </c>
      <c r="I20" s="165">
        <f t="shared" si="2"/>
        <v>7.1933332999999999</v>
      </c>
      <c r="J20" s="165">
        <f t="shared" si="2"/>
        <v>7.1933332999999999</v>
      </c>
      <c r="K20" s="165">
        <f t="shared" si="2"/>
        <v>7.1933332999999999</v>
      </c>
      <c r="L20" s="165">
        <f t="shared" si="2"/>
        <v>7.1933332999999999</v>
      </c>
      <c r="M20" s="165">
        <f t="shared" si="2"/>
        <v>7.1933332999999999</v>
      </c>
      <c r="N20" s="165">
        <f t="shared" si="2"/>
        <v>7.1933332999999999</v>
      </c>
      <c r="O20" s="165">
        <f t="shared" si="2"/>
        <v>7.1933332999999999</v>
      </c>
      <c r="P20" s="165">
        <f>SUM(D20:O20)</f>
        <v>86.319999600000017</v>
      </c>
    </row>
    <row r="21" spans="1:16" ht="24" customHeight="1" x14ac:dyDescent="0.2">
      <c r="A21" s="198">
        <f t="shared" si="0"/>
        <v>15</v>
      </c>
      <c r="B21" s="200" t="s">
        <v>269</v>
      </c>
      <c r="C21" s="201" t="s">
        <v>176</v>
      </c>
      <c r="D21" s="164">
        <v>0</v>
      </c>
      <c r="E21" s="164">
        <v>0</v>
      </c>
      <c r="F21" s="164">
        <v>0</v>
      </c>
      <c r="G21" s="164">
        <v>0</v>
      </c>
      <c r="H21" s="164">
        <v>0</v>
      </c>
      <c r="I21" s="164">
        <v>0</v>
      </c>
      <c r="J21" s="164">
        <v>0</v>
      </c>
      <c r="K21" s="164">
        <v>0</v>
      </c>
      <c r="L21" s="164">
        <v>0</v>
      </c>
      <c r="M21" s="164">
        <v>0</v>
      </c>
      <c r="N21" s="164">
        <v>0</v>
      </c>
      <c r="O21" s="164">
        <v>0</v>
      </c>
      <c r="P21" s="164">
        <v>0</v>
      </c>
    </row>
    <row r="22" spans="1:16" ht="36" customHeight="1" x14ac:dyDescent="0.2">
      <c r="A22" s="198">
        <f t="shared" si="0"/>
        <v>16</v>
      </c>
      <c r="B22" s="200" t="s">
        <v>186</v>
      </c>
      <c r="C22" s="201" t="s">
        <v>176</v>
      </c>
      <c r="D22" s="164">
        <v>0</v>
      </c>
      <c r="E22" s="164">
        <v>0</v>
      </c>
      <c r="F22" s="164">
        <v>0</v>
      </c>
      <c r="G22" s="164">
        <v>0</v>
      </c>
      <c r="H22" s="164">
        <v>0</v>
      </c>
      <c r="I22" s="164">
        <v>0</v>
      </c>
      <c r="J22" s="164">
        <v>0</v>
      </c>
      <c r="K22" s="164">
        <v>0</v>
      </c>
      <c r="L22" s="164">
        <v>0</v>
      </c>
      <c r="M22" s="164">
        <v>0</v>
      </c>
      <c r="N22" s="164">
        <v>0</v>
      </c>
      <c r="O22" s="164">
        <v>0</v>
      </c>
      <c r="P22" s="164">
        <v>0</v>
      </c>
    </row>
    <row r="23" spans="1:16" ht="20.25" customHeight="1" x14ac:dyDescent="0.2">
      <c r="A23" s="198">
        <f t="shared" si="0"/>
        <v>17</v>
      </c>
      <c r="B23" s="200" t="s">
        <v>173</v>
      </c>
      <c r="C23" s="201" t="s">
        <v>176</v>
      </c>
      <c r="D23" s="164">
        <v>0</v>
      </c>
      <c r="E23" s="164">
        <v>0</v>
      </c>
      <c r="F23" s="164">
        <v>0</v>
      </c>
      <c r="G23" s="164">
        <v>0</v>
      </c>
      <c r="H23" s="164">
        <v>0</v>
      </c>
      <c r="I23" s="164">
        <v>0</v>
      </c>
      <c r="J23" s="164">
        <v>0</v>
      </c>
      <c r="K23" s="164">
        <v>0</v>
      </c>
      <c r="L23" s="164">
        <v>0</v>
      </c>
      <c r="M23" s="164">
        <v>0</v>
      </c>
      <c r="N23" s="164">
        <v>0</v>
      </c>
      <c r="O23" s="164">
        <v>0</v>
      </c>
      <c r="P23" s="164">
        <v>0</v>
      </c>
    </row>
    <row r="24" spans="1:16" ht="21.75" customHeight="1" x14ac:dyDescent="0.2">
      <c r="A24" s="198">
        <f t="shared" si="0"/>
        <v>18</v>
      </c>
      <c r="B24" s="202" t="s">
        <v>139</v>
      </c>
      <c r="C24" s="201" t="s">
        <v>176</v>
      </c>
      <c r="D24" s="166">
        <f>D20+D21+D22+D23</f>
        <v>7.1933332999999999</v>
      </c>
      <c r="E24" s="166">
        <f t="shared" ref="E24:O24" si="3">E20+E21+E22+E23</f>
        <v>7.1933332999999999</v>
      </c>
      <c r="F24" s="166">
        <f t="shared" si="3"/>
        <v>7.1933332999999999</v>
      </c>
      <c r="G24" s="166">
        <f t="shared" si="3"/>
        <v>7.1933332999999999</v>
      </c>
      <c r="H24" s="166">
        <f t="shared" si="3"/>
        <v>7.1933332999999999</v>
      </c>
      <c r="I24" s="166">
        <f t="shared" si="3"/>
        <v>7.1933332999999999</v>
      </c>
      <c r="J24" s="166">
        <f t="shared" si="3"/>
        <v>7.1933332999999999</v>
      </c>
      <c r="K24" s="166">
        <f t="shared" si="3"/>
        <v>7.1933332999999999</v>
      </c>
      <c r="L24" s="166">
        <f t="shared" si="3"/>
        <v>7.1933332999999999</v>
      </c>
      <c r="M24" s="166">
        <f t="shared" si="3"/>
        <v>7.1933332999999999</v>
      </c>
      <c r="N24" s="166">
        <f t="shared" si="3"/>
        <v>7.1933332999999999</v>
      </c>
      <c r="O24" s="166">
        <f t="shared" si="3"/>
        <v>7.1933332999999999</v>
      </c>
      <c r="P24" s="166">
        <f>SUM(D24:O24)</f>
        <v>86.319999600000017</v>
      </c>
    </row>
    <row r="25" spans="1:16" ht="18.75" customHeight="1" x14ac:dyDescent="0.2">
      <c r="A25" s="198">
        <f t="shared" si="0"/>
        <v>19</v>
      </c>
      <c r="B25" s="203" t="s">
        <v>174</v>
      </c>
      <c r="C25" s="201"/>
      <c r="D25" s="167"/>
      <c r="E25" s="161"/>
      <c r="F25" s="161"/>
      <c r="G25" s="161"/>
      <c r="H25" s="161"/>
      <c r="I25" s="161"/>
      <c r="J25" s="161"/>
      <c r="K25" s="161"/>
      <c r="L25" s="165"/>
      <c r="M25" s="165"/>
      <c r="N25" s="165"/>
      <c r="O25" s="165"/>
      <c r="P25" s="168"/>
    </row>
    <row r="26" spans="1:16" ht="21.75" customHeight="1" x14ac:dyDescent="0.2">
      <c r="A26" s="198"/>
      <c r="B26" s="200" t="s">
        <v>345</v>
      </c>
      <c r="C26" s="201" t="s">
        <v>176</v>
      </c>
      <c r="D26" s="167"/>
      <c r="E26" s="161"/>
      <c r="F26" s="161"/>
      <c r="G26" s="161"/>
      <c r="H26" s="161"/>
      <c r="I26" s="161"/>
      <c r="J26" s="161"/>
      <c r="K26" s="161"/>
      <c r="L26" s="165"/>
      <c r="M26" s="165"/>
      <c r="N26" s="165"/>
      <c r="O26" s="165"/>
      <c r="P26" s="168">
        <v>0.32</v>
      </c>
    </row>
    <row r="27" spans="1:16" ht="29.25" customHeight="1" x14ac:dyDescent="0.2">
      <c r="A27" s="198"/>
      <c r="B27" s="200" t="s">
        <v>89</v>
      </c>
      <c r="C27" s="201" t="s">
        <v>176</v>
      </c>
      <c r="D27" s="167"/>
      <c r="E27" s="161"/>
      <c r="F27" s="161"/>
      <c r="G27" s="161"/>
      <c r="H27" s="161"/>
      <c r="I27" s="161"/>
      <c r="J27" s="161"/>
      <c r="K27" s="161"/>
      <c r="L27" s="165"/>
      <c r="M27" s="165"/>
      <c r="N27" s="165"/>
      <c r="O27" s="165"/>
      <c r="P27" s="168">
        <v>1.38</v>
      </c>
    </row>
    <row r="28" spans="1:16" ht="28.5" customHeight="1" x14ac:dyDescent="0.2">
      <c r="A28" s="201">
        <f>A25+1</f>
        <v>20</v>
      </c>
      <c r="B28" s="204" t="s">
        <v>146</v>
      </c>
      <c r="C28" s="201" t="s">
        <v>176</v>
      </c>
      <c r="D28" s="166">
        <f>D24+D26+D27</f>
        <v>7.1933332999999999</v>
      </c>
      <c r="E28" s="166">
        <f t="shared" ref="E28:N28" si="4">E24+E26+E27</f>
        <v>7.1933332999999999</v>
      </c>
      <c r="F28" s="166">
        <f t="shared" si="4"/>
        <v>7.1933332999999999</v>
      </c>
      <c r="G28" s="166">
        <f t="shared" si="4"/>
        <v>7.1933332999999999</v>
      </c>
      <c r="H28" s="166">
        <f t="shared" si="4"/>
        <v>7.1933332999999999</v>
      </c>
      <c r="I28" s="166">
        <f t="shared" si="4"/>
        <v>7.1933332999999999</v>
      </c>
      <c r="J28" s="166">
        <f t="shared" si="4"/>
        <v>7.1933332999999999</v>
      </c>
      <c r="K28" s="166">
        <f t="shared" si="4"/>
        <v>7.1933332999999999</v>
      </c>
      <c r="L28" s="166">
        <f t="shared" si="4"/>
        <v>7.1933332999999999</v>
      </c>
      <c r="M28" s="166">
        <f t="shared" si="4"/>
        <v>7.1933332999999999</v>
      </c>
      <c r="N28" s="166">
        <f t="shared" si="4"/>
        <v>7.1933332999999999</v>
      </c>
      <c r="O28" s="166">
        <f>O24+O26+O27</f>
        <v>7.1933332999999999</v>
      </c>
      <c r="P28" s="166">
        <f>P24+P26+P27</f>
        <v>88.019999600000006</v>
      </c>
    </row>
    <row r="29" spans="1:16" ht="30" customHeight="1" x14ac:dyDescent="0.2">
      <c r="A29" s="201">
        <f>A28+1</f>
        <v>21</v>
      </c>
      <c r="B29" s="203" t="s">
        <v>177</v>
      </c>
      <c r="C29" s="201" t="s">
        <v>176</v>
      </c>
      <c r="D29" s="167"/>
      <c r="E29" s="167"/>
      <c r="F29" s="167"/>
      <c r="G29" s="167"/>
      <c r="H29" s="167"/>
      <c r="I29" s="167"/>
      <c r="J29" s="167"/>
      <c r="K29" s="167"/>
      <c r="L29" s="167"/>
      <c r="M29" s="167"/>
      <c r="N29" s="167"/>
      <c r="O29" s="167"/>
      <c r="P29" s="166"/>
    </row>
  </sheetData>
  <mergeCells count="1">
    <mergeCell ref="A1:P1"/>
  </mergeCells>
  <pageMargins left="0.2" right="0.2" top="0.25" bottom="0.25" header="0.3" footer="0.3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22"/>
  <sheetViews>
    <sheetView showGridLines="0" topLeftCell="F5" zoomScale="93" zoomScaleNormal="93" zoomScaleSheetLayoutView="91" workbookViewId="0">
      <selection activeCell="F10" sqref="F10:L21"/>
    </sheetView>
  </sheetViews>
  <sheetFormatPr defaultColWidth="9.28515625" defaultRowHeight="14.25" x14ac:dyDescent="0.2"/>
  <cols>
    <col min="1" max="1" width="3" style="13" customWidth="1"/>
    <col min="2" max="2" width="5.7109375" style="13" customWidth="1"/>
    <col min="3" max="3" width="37" style="13" customWidth="1"/>
    <col min="4" max="5" width="11.5703125" style="13" customWidth="1"/>
    <col min="6" max="6" width="12.7109375" style="13" customWidth="1"/>
    <col min="7" max="7" width="11" style="13" customWidth="1"/>
    <col min="8" max="8" width="12.140625" style="13" customWidth="1"/>
    <col min="9" max="9" width="13.42578125" style="13" customWidth="1"/>
    <col min="10" max="10" width="11.140625" style="13" customWidth="1"/>
    <col min="11" max="11" width="11.5703125" style="13" customWidth="1"/>
    <col min="12" max="12" width="13.5703125" style="13" customWidth="1"/>
    <col min="13" max="13" width="10.5703125" style="13" customWidth="1"/>
    <col min="14" max="16384" width="9.28515625" style="13"/>
  </cols>
  <sheetData>
    <row r="2" spans="2:13" ht="15" x14ac:dyDescent="0.2">
      <c r="C2" s="5"/>
      <c r="D2" s="5"/>
      <c r="E2" s="5"/>
      <c r="F2" s="32" t="s">
        <v>298</v>
      </c>
      <c r="G2" s="5"/>
      <c r="H2" s="5"/>
      <c r="I2" s="5"/>
      <c r="J2" s="5"/>
      <c r="K2" s="5"/>
      <c r="L2" s="5"/>
      <c r="M2" s="5"/>
    </row>
    <row r="3" spans="2:13" ht="15" x14ac:dyDescent="0.2">
      <c r="C3" s="5"/>
      <c r="D3" s="5"/>
      <c r="E3" s="5"/>
      <c r="F3" s="32" t="s">
        <v>328</v>
      </c>
      <c r="G3" s="5"/>
      <c r="H3" s="5"/>
      <c r="I3" s="5"/>
      <c r="J3" s="5"/>
      <c r="K3" s="5"/>
      <c r="L3" s="5"/>
      <c r="M3" s="5"/>
    </row>
    <row r="4" spans="2:13" s="4" customFormat="1" ht="15.75" x14ac:dyDescent="0.2">
      <c r="C4" s="5"/>
      <c r="D4" s="5"/>
      <c r="F4" s="65" t="s">
        <v>302</v>
      </c>
      <c r="G4" s="5"/>
      <c r="H4" s="5"/>
      <c r="I4" s="5"/>
      <c r="J4" s="5"/>
      <c r="K4" s="5"/>
      <c r="L4" s="5"/>
      <c r="M4" s="5"/>
    </row>
    <row r="6" spans="2:13" ht="12.75" customHeight="1" x14ac:dyDescent="0.2">
      <c r="B6" s="214" t="s">
        <v>164</v>
      </c>
      <c r="C6" s="217" t="s">
        <v>14</v>
      </c>
      <c r="D6" s="211" t="s">
        <v>35</v>
      </c>
      <c r="E6" s="217" t="s">
        <v>1</v>
      </c>
      <c r="F6" s="221" t="s">
        <v>299</v>
      </c>
      <c r="G6" s="222"/>
      <c r="H6" s="223"/>
      <c r="I6" s="221" t="s">
        <v>300</v>
      </c>
      <c r="J6" s="223"/>
      <c r="K6" s="221" t="s">
        <v>326</v>
      </c>
      <c r="L6" s="223"/>
      <c r="M6" s="219" t="s">
        <v>11</v>
      </c>
    </row>
    <row r="7" spans="2:13" ht="60" customHeight="1" x14ac:dyDescent="0.2">
      <c r="B7" s="215"/>
      <c r="C7" s="217"/>
      <c r="D7" s="212"/>
      <c r="E7" s="217"/>
      <c r="F7" s="15" t="s">
        <v>271</v>
      </c>
      <c r="G7" s="15" t="s">
        <v>196</v>
      </c>
      <c r="H7" s="15" t="s">
        <v>325</v>
      </c>
      <c r="I7" s="15" t="s">
        <v>271</v>
      </c>
      <c r="J7" s="15" t="s">
        <v>198</v>
      </c>
      <c r="K7" s="15" t="s">
        <v>271</v>
      </c>
      <c r="L7" s="15" t="s">
        <v>198</v>
      </c>
      <c r="M7" s="219"/>
    </row>
    <row r="8" spans="2:13" ht="30" x14ac:dyDescent="0.2">
      <c r="B8" s="216"/>
      <c r="C8" s="218"/>
      <c r="D8" s="213"/>
      <c r="E8" s="218"/>
      <c r="F8" s="15" t="s">
        <v>10</v>
      </c>
      <c r="G8" s="15" t="s">
        <v>12</v>
      </c>
      <c r="H8" s="15" t="s">
        <v>197</v>
      </c>
      <c r="I8" s="15" t="s">
        <v>10</v>
      </c>
      <c r="J8" s="15" t="s">
        <v>322</v>
      </c>
      <c r="K8" s="15" t="s">
        <v>10</v>
      </c>
      <c r="L8" s="15" t="s">
        <v>322</v>
      </c>
      <c r="M8" s="220"/>
    </row>
    <row r="9" spans="2:13" ht="15" x14ac:dyDescent="0.2">
      <c r="B9" s="22" t="s">
        <v>51</v>
      </c>
      <c r="C9" s="23" t="s">
        <v>201</v>
      </c>
      <c r="D9" s="20"/>
      <c r="E9" s="20"/>
      <c r="F9" s="15"/>
      <c r="G9" s="15"/>
      <c r="H9" s="15"/>
      <c r="I9" s="15"/>
      <c r="J9" s="15"/>
      <c r="K9" s="15"/>
      <c r="L9" s="15"/>
      <c r="M9" s="21"/>
    </row>
    <row r="10" spans="2:13" ht="15" x14ac:dyDescent="0.2">
      <c r="B10" s="2">
        <v>1</v>
      </c>
      <c r="C10" s="3" t="s">
        <v>32</v>
      </c>
      <c r="D10" s="2" t="s">
        <v>176</v>
      </c>
      <c r="E10" s="17" t="s">
        <v>232</v>
      </c>
      <c r="F10" s="144">
        <f>'F2'!E14</f>
        <v>38.549999999999997</v>
      </c>
      <c r="G10" s="144">
        <f>'F2'!F14</f>
        <v>43.58</v>
      </c>
      <c r="H10" s="144">
        <f>'F2'!G14</f>
        <v>43.58</v>
      </c>
      <c r="I10" s="144">
        <f>'F2'!H14</f>
        <v>40.79</v>
      </c>
      <c r="J10" s="144">
        <f>'F2'!I14</f>
        <v>46.09</v>
      </c>
      <c r="K10" s="144">
        <f>'F2'!J14</f>
        <v>43.14</v>
      </c>
      <c r="L10" s="144">
        <f>'F2'!K14</f>
        <v>48.04</v>
      </c>
      <c r="M10" s="106"/>
    </row>
    <row r="11" spans="2:13" ht="15" x14ac:dyDescent="0.2">
      <c r="B11" s="2">
        <f t="shared" ref="B11:B16" si="0">B10+1</f>
        <v>2</v>
      </c>
      <c r="C11" s="18" t="s">
        <v>144</v>
      </c>
      <c r="D11" s="2" t="s">
        <v>176</v>
      </c>
      <c r="E11" s="17" t="s">
        <v>19</v>
      </c>
      <c r="F11" s="145">
        <v>10.220000000000001</v>
      </c>
      <c r="G11" s="145">
        <f>H11</f>
        <v>9.14</v>
      </c>
      <c r="H11" s="144">
        <f>'F4'!K20</f>
        <v>9.14</v>
      </c>
      <c r="I11" s="146">
        <v>10.220000000000001</v>
      </c>
      <c r="J11" s="144">
        <f>'F4'!K35</f>
        <v>9.14</v>
      </c>
      <c r="K11" s="146">
        <v>10.220000000000001</v>
      </c>
      <c r="L11" s="144">
        <f>'F4'!K50</f>
        <v>9.14</v>
      </c>
      <c r="M11" s="106"/>
    </row>
    <row r="12" spans="2:13" ht="15" x14ac:dyDescent="0.2">
      <c r="B12" s="2">
        <f t="shared" si="0"/>
        <v>3</v>
      </c>
      <c r="C12" s="3" t="s">
        <v>199</v>
      </c>
      <c r="D12" s="2" t="s">
        <v>176</v>
      </c>
      <c r="E12" s="16" t="s">
        <v>25</v>
      </c>
      <c r="F12" s="144">
        <f>'F5'!D20</f>
        <v>19.21</v>
      </c>
      <c r="G12" s="144">
        <f>'F5'!E20</f>
        <v>23.04</v>
      </c>
      <c r="H12" s="144">
        <f>'F5'!F20</f>
        <v>23.04</v>
      </c>
      <c r="I12" s="144">
        <f>'F5'!G20</f>
        <v>18.45</v>
      </c>
      <c r="J12" s="144">
        <f>'F5'!H20</f>
        <v>22.07</v>
      </c>
      <c r="K12" s="144">
        <f>'F5'!I20</f>
        <v>16.82</v>
      </c>
      <c r="L12" s="144">
        <f>'F5'!J20</f>
        <v>21.11</v>
      </c>
      <c r="M12" s="106"/>
    </row>
    <row r="13" spans="2:13" ht="15" x14ac:dyDescent="0.2">
      <c r="B13" s="2">
        <f t="shared" si="0"/>
        <v>4</v>
      </c>
      <c r="C13" s="18" t="s">
        <v>33</v>
      </c>
      <c r="D13" s="2" t="s">
        <v>176</v>
      </c>
      <c r="E13" s="16" t="s">
        <v>26</v>
      </c>
      <c r="F13" s="144">
        <f>'F6'!D18</f>
        <v>1.86</v>
      </c>
      <c r="G13" s="144">
        <f ca="1">'F6'!E18</f>
        <v>2.21</v>
      </c>
      <c r="H13" s="144">
        <f ca="1">'F6'!F18</f>
        <v>2.2087238986388318</v>
      </c>
      <c r="I13" s="144">
        <f>'F6'!G18</f>
        <v>1.99</v>
      </c>
      <c r="J13" s="144">
        <f ca="1">'F6'!H18</f>
        <v>2.2200000000000002</v>
      </c>
      <c r="K13" s="144">
        <f>'F6'!I18</f>
        <v>2.0099999999999998</v>
      </c>
      <c r="L13" s="144">
        <f ca="1">'F6'!J18</f>
        <v>2.2400000000000002</v>
      </c>
      <c r="M13" s="106"/>
    </row>
    <row r="14" spans="2:13" ht="15" x14ac:dyDescent="0.2">
      <c r="B14" s="2">
        <f t="shared" si="0"/>
        <v>5</v>
      </c>
      <c r="C14" s="3" t="s">
        <v>200</v>
      </c>
      <c r="D14" s="2" t="s">
        <v>176</v>
      </c>
      <c r="E14" s="16" t="s">
        <v>27</v>
      </c>
      <c r="F14" s="144">
        <f>'F7'!D20</f>
        <v>16.989999999999998</v>
      </c>
      <c r="G14" s="144">
        <f>'F7'!E20</f>
        <v>29.16</v>
      </c>
      <c r="H14" s="144">
        <f>'F7'!F20</f>
        <v>29.16</v>
      </c>
      <c r="I14" s="144">
        <f>'F7'!G20</f>
        <v>22.74</v>
      </c>
      <c r="J14" s="144">
        <f>'F7'!H20</f>
        <v>29.16</v>
      </c>
      <c r="K14" s="144">
        <f>'F7'!I20</f>
        <v>22.74</v>
      </c>
      <c r="L14" s="144">
        <f>'F7'!J20</f>
        <v>29.16</v>
      </c>
      <c r="M14" s="106"/>
    </row>
    <row r="15" spans="2:13" ht="15" x14ac:dyDescent="0.2">
      <c r="B15" s="2">
        <f t="shared" si="0"/>
        <v>6</v>
      </c>
      <c r="C15" s="3" t="s">
        <v>34</v>
      </c>
      <c r="D15" s="2" t="s">
        <v>176</v>
      </c>
      <c r="E15" s="16" t="s">
        <v>28</v>
      </c>
      <c r="F15" s="144">
        <f>'F8'!D29</f>
        <v>0.5</v>
      </c>
      <c r="G15" s="144">
        <f>'F8'!E29</f>
        <v>0.24</v>
      </c>
      <c r="H15" s="144">
        <f>G15</f>
        <v>0.24</v>
      </c>
      <c r="I15" s="144">
        <f>'F8'!G29</f>
        <v>0.52</v>
      </c>
      <c r="J15" s="144">
        <f>'F8'!H29</f>
        <v>0.26</v>
      </c>
      <c r="K15" s="144">
        <f>'F8'!I29</f>
        <v>0.54</v>
      </c>
      <c r="L15" s="144">
        <f>'F8'!J29</f>
        <v>0.27</v>
      </c>
      <c r="M15" s="106"/>
    </row>
    <row r="16" spans="2:13" ht="15" x14ac:dyDescent="0.2">
      <c r="B16" s="14">
        <f t="shared" si="0"/>
        <v>7</v>
      </c>
      <c r="C16" s="19" t="s">
        <v>201</v>
      </c>
      <c r="D16" s="14" t="s">
        <v>176</v>
      </c>
      <c r="E16" s="16"/>
      <c r="F16" s="144">
        <f>SUM(F10:F14)-F15</f>
        <v>86.329999999999984</v>
      </c>
      <c r="G16" s="144">
        <f ca="1">SUM(G10:G14)-G15</f>
        <v>106.88999999999999</v>
      </c>
      <c r="H16" s="144">
        <f t="shared" ref="H16:J16" ca="1" si="1">SUM(H10:H14)-H15</f>
        <v>106.88872389863883</v>
      </c>
      <c r="I16" s="144">
        <f t="shared" si="1"/>
        <v>93.669999999999987</v>
      </c>
      <c r="J16" s="144">
        <f t="shared" ca="1" si="1"/>
        <v>108.42</v>
      </c>
      <c r="K16" s="144">
        <f>SUM(K10:K14)-K15</f>
        <v>94.39</v>
      </c>
      <c r="L16" s="144">
        <f t="shared" ref="L16" ca="1" si="2">SUM(L10:L14)-L15</f>
        <v>109.41999999999999</v>
      </c>
      <c r="M16" s="106"/>
    </row>
    <row r="17" spans="2:13" ht="15" x14ac:dyDescent="0.2">
      <c r="B17" s="14" t="s">
        <v>55</v>
      </c>
      <c r="C17" s="14" t="s">
        <v>202</v>
      </c>
      <c r="D17" s="16"/>
      <c r="E17" s="16"/>
      <c r="F17" s="107"/>
      <c r="G17" s="107"/>
      <c r="H17" s="107"/>
      <c r="I17" s="107"/>
      <c r="J17" s="107"/>
      <c r="K17" s="107"/>
      <c r="L17" s="107"/>
      <c r="M17" s="3"/>
    </row>
    <row r="18" spans="2:13" ht="15" x14ac:dyDescent="0.2">
      <c r="B18" s="2">
        <v>1</v>
      </c>
      <c r="C18" s="16" t="s">
        <v>203</v>
      </c>
      <c r="D18" s="2" t="s">
        <v>175</v>
      </c>
      <c r="E18" s="16" t="s">
        <v>141</v>
      </c>
      <c r="F18" s="147"/>
      <c r="G18" s="147"/>
      <c r="H18" s="147"/>
      <c r="I18" s="147"/>
      <c r="J18" s="147"/>
      <c r="K18" s="147"/>
      <c r="L18" s="147"/>
      <c r="M18" s="3"/>
    </row>
    <row r="19" spans="2:13" ht="15" x14ac:dyDescent="0.2">
      <c r="B19" s="2">
        <f>B18+1</f>
        <v>2</v>
      </c>
      <c r="C19" s="16" t="s">
        <v>204</v>
      </c>
      <c r="D19" s="2" t="s">
        <v>38</v>
      </c>
      <c r="E19" s="16" t="s">
        <v>30</v>
      </c>
      <c r="F19" s="144"/>
      <c r="G19" s="144"/>
      <c r="H19" s="144"/>
      <c r="I19" s="144"/>
      <c r="J19" s="144"/>
      <c r="K19" s="144"/>
      <c r="L19" s="144"/>
      <c r="M19" s="3"/>
    </row>
    <row r="20" spans="2:13" ht="15" x14ac:dyDescent="0.2">
      <c r="B20" s="2">
        <f>B19+1</f>
        <v>3</v>
      </c>
      <c r="C20" s="16" t="s">
        <v>202</v>
      </c>
      <c r="D20" s="2" t="s">
        <v>176</v>
      </c>
      <c r="E20" s="16"/>
      <c r="F20" s="144"/>
      <c r="G20" s="144"/>
      <c r="H20" s="144"/>
      <c r="I20" s="144"/>
      <c r="J20" s="144"/>
      <c r="K20" s="144"/>
      <c r="L20" s="144"/>
      <c r="M20" s="3"/>
    </row>
    <row r="21" spans="2:13" ht="15" x14ac:dyDescent="0.2">
      <c r="B21" s="14" t="s">
        <v>56</v>
      </c>
      <c r="C21" s="14" t="s">
        <v>291</v>
      </c>
      <c r="D21" s="2" t="s">
        <v>176</v>
      </c>
      <c r="E21" s="3"/>
      <c r="F21" s="148">
        <f>F16+F20</f>
        <v>86.329999999999984</v>
      </c>
      <c r="G21" s="144">
        <f t="shared" ref="G21:L21" ca="1" si="3">G16+G20</f>
        <v>106.88999999999999</v>
      </c>
      <c r="H21" s="144">
        <f t="shared" ca="1" si="3"/>
        <v>106.88872389863883</v>
      </c>
      <c r="I21" s="144">
        <f t="shared" si="3"/>
        <v>93.669999999999987</v>
      </c>
      <c r="J21" s="144">
        <f t="shared" ca="1" si="3"/>
        <v>108.42</v>
      </c>
      <c r="K21" s="144">
        <f t="shared" si="3"/>
        <v>94.39</v>
      </c>
      <c r="L21" s="144">
        <f t="shared" ca="1" si="3"/>
        <v>109.41999999999999</v>
      </c>
      <c r="M21" s="3"/>
    </row>
    <row r="22" spans="2:13" x14ac:dyDescent="0.2">
      <c r="F22" s="118"/>
    </row>
  </sheetData>
  <mergeCells count="8">
    <mergeCell ref="D6:D8"/>
    <mergeCell ref="B6:B8"/>
    <mergeCell ref="C6:C8"/>
    <mergeCell ref="E6:E8"/>
    <mergeCell ref="M6:M8"/>
    <mergeCell ref="F6:H6"/>
    <mergeCell ref="I6:J6"/>
    <mergeCell ref="K6:L6"/>
  </mergeCells>
  <pageMargins left="0.23" right="0.23" top="0.92" bottom="1" header="0.5" footer="0.5"/>
  <pageSetup paperSize="9" scale="8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6"/>
  <sheetViews>
    <sheetView showGridLines="0" view="pageBreakPreview" zoomScale="95" zoomScaleNormal="95" zoomScaleSheetLayoutView="95" workbookViewId="0">
      <selection activeCell="G14" sqref="G14"/>
    </sheetView>
  </sheetViews>
  <sheetFormatPr defaultColWidth="9.28515625" defaultRowHeight="14.25" x14ac:dyDescent="0.2"/>
  <cols>
    <col min="1" max="1" width="3.28515625" style="5" customWidth="1"/>
    <col min="2" max="2" width="5.7109375" style="5" customWidth="1"/>
    <col min="3" max="3" width="20.7109375" style="5" customWidth="1"/>
    <col min="4" max="4" width="11.85546875" style="5" customWidth="1"/>
    <col min="5" max="5" width="11.5703125" style="5" customWidth="1"/>
    <col min="6" max="6" width="11.7109375" style="5" customWidth="1"/>
    <col min="7" max="7" width="10.7109375" style="5" customWidth="1"/>
    <col min="8" max="8" width="9.5703125" style="5" customWidth="1"/>
    <col min="9" max="10" width="10.28515625" style="5" customWidth="1"/>
    <col min="11" max="11" width="10" style="5" customWidth="1"/>
    <col min="12" max="16384" width="9.28515625" style="5"/>
  </cols>
  <sheetData>
    <row r="1" spans="2:11" ht="15" x14ac:dyDescent="0.2">
      <c r="C1" s="36"/>
      <c r="D1" s="36"/>
      <c r="E1" s="36"/>
      <c r="F1" s="36"/>
      <c r="G1" s="36"/>
      <c r="I1" s="33"/>
      <c r="J1" s="33"/>
      <c r="K1" s="36"/>
    </row>
    <row r="2" spans="2:11" ht="15" x14ac:dyDescent="0.2">
      <c r="B2" s="224" t="s">
        <v>298</v>
      </c>
      <c r="C2" s="224"/>
      <c r="D2" s="224"/>
      <c r="E2" s="224"/>
      <c r="F2" s="224"/>
      <c r="G2" s="224"/>
      <c r="H2" s="224"/>
      <c r="I2" s="224"/>
      <c r="J2" s="224"/>
      <c r="K2" s="224"/>
    </row>
    <row r="3" spans="2:11" ht="15" x14ac:dyDescent="0.2">
      <c r="B3" s="35"/>
      <c r="C3" s="35"/>
      <c r="D3" s="35"/>
      <c r="E3" s="35"/>
      <c r="F3" s="35" t="str">
        <f>'F1'!$F$3</f>
        <v>Pulichinthala HES</v>
      </c>
      <c r="G3" s="35"/>
      <c r="H3" s="35"/>
      <c r="I3" s="35"/>
      <c r="J3" s="35"/>
      <c r="K3" s="35"/>
    </row>
    <row r="4" spans="2:11" ht="15" x14ac:dyDescent="0.2">
      <c r="B4" s="224" t="s">
        <v>278</v>
      </c>
      <c r="C4" s="224"/>
      <c r="D4" s="224"/>
      <c r="E4" s="224"/>
      <c r="F4" s="224"/>
      <c r="G4" s="224"/>
      <c r="H4" s="224"/>
      <c r="I4" s="224"/>
      <c r="J4" s="224"/>
      <c r="K4" s="224"/>
    </row>
    <row r="5" spans="2:11" ht="15" x14ac:dyDescent="0.2">
      <c r="B5" s="35"/>
      <c r="C5" s="35"/>
      <c r="D5" s="35"/>
      <c r="E5" s="35"/>
      <c r="F5" s="35"/>
      <c r="G5" s="35"/>
      <c r="H5" s="35"/>
      <c r="I5" s="35"/>
      <c r="J5" s="35"/>
      <c r="K5" s="35"/>
    </row>
    <row r="6" spans="2:11" ht="15" x14ac:dyDescent="0.2">
      <c r="B6" s="225" t="s">
        <v>52</v>
      </c>
      <c r="C6" s="225"/>
      <c r="D6" s="225"/>
      <c r="E6" s="225"/>
      <c r="F6" s="225"/>
      <c r="G6" s="225"/>
      <c r="H6" s="225"/>
      <c r="I6" s="225"/>
      <c r="J6" s="225"/>
      <c r="K6" s="225"/>
    </row>
    <row r="7" spans="2:11" ht="15" x14ac:dyDescent="0.2">
      <c r="K7" s="26" t="s">
        <v>4</v>
      </c>
    </row>
    <row r="8" spans="2:11" ht="15" customHeight="1" x14ac:dyDescent="0.2">
      <c r="B8" s="226" t="s">
        <v>164</v>
      </c>
      <c r="C8" s="226" t="s">
        <v>14</v>
      </c>
      <c r="D8" s="227" t="s">
        <v>1</v>
      </c>
      <c r="E8" s="221" t="s">
        <v>299</v>
      </c>
      <c r="F8" s="222"/>
      <c r="G8" s="223"/>
      <c r="H8" s="221" t="s">
        <v>300</v>
      </c>
      <c r="I8" s="223"/>
      <c r="J8" s="221" t="s">
        <v>326</v>
      </c>
      <c r="K8" s="223"/>
    </row>
    <row r="9" spans="2:11" ht="75" x14ac:dyDescent="0.2">
      <c r="B9" s="226"/>
      <c r="C9" s="226"/>
      <c r="D9" s="228"/>
      <c r="E9" s="15" t="s">
        <v>271</v>
      </c>
      <c r="F9" s="15" t="s">
        <v>206</v>
      </c>
      <c r="G9" s="15" t="s">
        <v>324</v>
      </c>
      <c r="H9" s="15" t="s">
        <v>271</v>
      </c>
      <c r="I9" s="15" t="s">
        <v>205</v>
      </c>
      <c r="J9" s="15" t="s">
        <v>271</v>
      </c>
      <c r="K9" s="15" t="s">
        <v>205</v>
      </c>
    </row>
    <row r="10" spans="2:11" ht="30" x14ac:dyDescent="0.2">
      <c r="B10" s="226"/>
      <c r="C10" s="226"/>
      <c r="D10" s="229"/>
      <c r="E10" s="15" t="s">
        <v>10</v>
      </c>
      <c r="F10" s="15" t="s">
        <v>12</v>
      </c>
      <c r="G10" s="15" t="s">
        <v>197</v>
      </c>
      <c r="H10" s="15" t="s">
        <v>10</v>
      </c>
      <c r="I10" s="15" t="s">
        <v>322</v>
      </c>
      <c r="J10" s="15" t="s">
        <v>10</v>
      </c>
      <c r="K10" s="15" t="s">
        <v>322</v>
      </c>
    </row>
    <row r="11" spans="2:11" x14ac:dyDescent="0.2">
      <c r="B11" s="20">
        <v>1</v>
      </c>
      <c r="C11" s="29" t="s">
        <v>53</v>
      </c>
      <c r="D11" s="29" t="s">
        <v>20</v>
      </c>
      <c r="E11" s="105"/>
      <c r="F11" s="120">
        <f>F2.1!D35</f>
        <v>38.340000000000003</v>
      </c>
      <c r="G11" s="120">
        <f>F11</f>
        <v>38.340000000000003</v>
      </c>
      <c r="H11" s="105"/>
      <c r="I11" s="120">
        <f>F2.1!E35</f>
        <v>40.32</v>
      </c>
      <c r="J11" s="105"/>
      <c r="K11" s="120">
        <f>F2.1!F35</f>
        <v>41.93</v>
      </c>
    </row>
    <row r="12" spans="2:11" x14ac:dyDescent="0.2">
      <c r="B12" s="20">
        <f>B11+1</f>
        <v>2</v>
      </c>
      <c r="C12" s="37" t="s">
        <v>207</v>
      </c>
      <c r="D12" s="37" t="s">
        <v>21</v>
      </c>
      <c r="E12" s="110"/>
      <c r="F12" s="121">
        <f>F2.2!D38</f>
        <v>1.35</v>
      </c>
      <c r="G12" s="120">
        <f t="shared" ref="G12:G13" si="0">F12</f>
        <v>1.35</v>
      </c>
      <c r="H12" s="105"/>
      <c r="I12" s="120">
        <f>F2.2!E38</f>
        <v>1.46</v>
      </c>
      <c r="J12" s="105"/>
      <c r="K12" s="120">
        <f>F2.2!F38</f>
        <v>1.54</v>
      </c>
    </row>
    <row r="13" spans="2:11" x14ac:dyDescent="0.2">
      <c r="B13" s="20">
        <f>B12+1</f>
        <v>3</v>
      </c>
      <c r="C13" s="29" t="s">
        <v>180</v>
      </c>
      <c r="D13" s="29" t="s">
        <v>233</v>
      </c>
      <c r="E13" s="105"/>
      <c r="F13" s="120">
        <f>F2.3!D18</f>
        <v>3.89</v>
      </c>
      <c r="G13" s="120">
        <f t="shared" si="0"/>
        <v>3.89</v>
      </c>
      <c r="H13" s="105"/>
      <c r="I13" s="120">
        <f>F2.3!E18</f>
        <v>4.3099999999999996</v>
      </c>
      <c r="J13" s="105"/>
      <c r="K13" s="120">
        <f>F2.3!F18</f>
        <v>4.57</v>
      </c>
    </row>
    <row r="14" spans="2:11" ht="15" x14ac:dyDescent="0.2">
      <c r="B14" s="20">
        <f>B13+1</f>
        <v>4</v>
      </c>
      <c r="C14" s="29" t="s">
        <v>54</v>
      </c>
      <c r="D14" s="29"/>
      <c r="E14" s="122">
        <v>38.549999999999997</v>
      </c>
      <c r="F14" s="122">
        <f t="shared" ref="F14:K14" si="1">ROUND(SUM(F11:F13),2)</f>
        <v>43.58</v>
      </c>
      <c r="G14" s="122">
        <f t="shared" si="1"/>
        <v>43.58</v>
      </c>
      <c r="H14" s="122">
        <v>40.79</v>
      </c>
      <c r="I14" s="122">
        <f t="shared" si="1"/>
        <v>46.09</v>
      </c>
      <c r="J14" s="122">
        <v>43.14</v>
      </c>
      <c r="K14" s="122">
        <f t="shared" si="1"/>
        <v>48.04</v>
      </c>
    </row>
    <row r="15" spans="2:11" x14ac:dyDescent="0.2">
      <c r="B15" s="49" t="s">
        <v>208</v>
      </c>
      <c r="C15" s="50"/>
      <c r="D15" s="47"/>
      <c r="E15" s="136"/>
      <c r="F15" s="47"/>
      <c r="G15" s="48"/>
      <c r="H15" s="48"/>
      <c r="I15" s="48"/>
      <c r="J15" s="48"/>
      <c r="K15" s="48"/>
    </row>
    <row r="16" spans="2:11" x14ac:dyDescent="0.2">
      <c r="B16" s="51">
        <v>1</v>
      </c>
      <c r="C16" s="50" t="s">
        <v>209</v>
      </c>
    </row>
  </sheetData>
  <mergeCells count="9">
    <mergeCell ref="B4:K4"/>
    <mergeCell ref="B2:K2"/>
    <mergeCell ref="B6:K6"/>
    <mergeCell ref="B8:B10"/>
    <mergeCell ref="C8:C10"/>
    <mergeCell ref="H8:I8"/>
    <mergeCell ref="E8:G8"/>
    <mergeCell ref="D8:D10"/>
    <mergeCell ref="J8:K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GridLines="0" view="pageBreakPreview" topLeftCell="A27" zoomScale="98" zoomScaleNormal="95" zoomScaleSheetLayoutView="98" workbookViewId="0">
      <selection activeCell="D35" sqref="D35"/>
    </sheetView>
  </sheetViews>
  <sheetFormatPr defaultColWidth="9.28515625" defaultRowHeight="14.25" x14ac:dyDescent="0.2"/>
  <cols>
    <col min="1" max="1" width="4.140625" style="13" customWidth="1"/>
    <col min="2" max="2" width="7" style="13" customWidth="1"/>
    <col min="3" max="3" width="40.7109375" style="13" customWidth="1"/>
    <col min="4" max="4" width="12.7109375" style="13" customWidth="1"/>
    <col min="5" max="5" width="13.28515625" style="13" customWidth="1"/>
    <col min="6" max="6" width="11.85546875" style="13" customWidth="1"/>
    <col min="7" max="7" width="9.28515625" style="13"/>
    <col min="8" max="8" width="16.28515625" style="13" bestFit="1" customWidth="1"/>
    <col min="9" max="16384" width="9.28515625" style="13"/>
  </cols>
  <sheetData>
    <row r="1" spans="1:8" ht="14.25" customHeight="1" x14ac:dyDescent="0.2">
      <c r="B1" s="224" t="s">
        <v>298</v>
      </c>
      <c r="C1" s="224"/>
      <c r="D1" s="224"/>
      <c r="E1" s="224"/>
      <c r="F1" s="224"/>
    </row>
    <row r="2" spans="1:8" ht="14.25" customHeight="1" x14ac:dyDescent="0.2">
      <c r="A2" s="224" t="str">
        <f>'F1'!$F$3</f>
        <v>Pulichinthala HES</v>
      </c>
      <c r="B2" s="224"/>
      <c r="C2" s="224"/>
      <c r="D2" s="224"/>
      <c r="E2" s="224"/>
      <c r="F2" s="224"/>
    </row>
    <row r="3" spans="1:8" s="4" customFormat="1" ht="14.25" customHeight="1" x14ac:dyDescent="0.2">
      <c r="B3" s="224" t="s">
        <v>234</v>
      </c>
      <c r="C3" s="224"/>
      <c r="D3" s="224"/>
      <c r="E3" s="224"/>
      <c r="F3" s="224"/>
    </row>
    <row r="4" spans="1:8" s="4" customFormat="1" ht="3" customHeight="1" x14ac:dyDescent="0.25">
      <c r="C4" s="40"/>
      <c r="D4" s="41"/>
      <c r="E4" s="41"/>
    </row>
    <row r="5" spans="1:8" ht="15" x14ac:dyDescent="0.2">
      <c r="F5" s="26" t="s">
        <v>4</v>
      </c>
    </row>
    <row r="6" spans="1:8" ht="12.75" customHeight="1" x14ac:dyDescent="0.2">
      <c r="B6" s="217" t="s">
        <v>2</v>
      </c>
      <c r="C6" s="217" t="s">
        <v>14</v>
      </c>
      <c r="D6" s="15" t="s">
        <v>299</v>
      </c>
      <c r="E6" s="15" t="s">
        <v>300</v>
      </c>
      <c r="F6" s="23" t="s">
        <v>326</v>
      </c>
    </row>
    <row r="7" spans="1:8" ht="15" x14ac:dyDescent="0.2">
      <c r="B7" s="217"/>
      <c r="C7" s="217"/>
      <c r="D7" s="15" t="s">
        <v>206</v>
      </c>
      <c r="E7" s="15" t="s">
        <v>205</v>
      </c>
      <c r="F7" s="15" t="s">
        <v>205</v>
      </c>
    </row>
    <row r="8" spans="1:8" ht="15" x14ac:dyDescent="0.2">
      <c r="B8" s="230"/>
      <c r="C8" s="217"/>
      <c r="D8" s="15" t="s">
        <v>12</v>
      </c>
      <c r="E8" s="15" t="s">
        <v>5</v>
      </c>
      <c r="F8" s="15" t="s">
        <v>8</v>
      </c>
    </row>
    <row r="9" spans="1:8" ht="18" customHeight="1" x14ac:dyDescent="0.2">
      <c r="B9" s="2">
        <v>1</v>
      </c>
      <c r="C9" s="42" t="s">
        <v>57</v>
      </c>
      <c r="D9" s="187">
        <v>18.237628006563671</v>
      </c>
      <c r="E9" s="187">
        <v>19.100655429727599</v>
      </c>
      <c r="F9" s="187">
        <v>19.864681646916704</v>
      </c>
      <c r="H9" s="123"/>
    </row>
    <row r="10" spans="1:8" ht="18" customHeight="1" x14ac:dyDescent="0.2">
      <c r="B10" s="2">
        <v>2</v>
      </c>
      <c r="C10" s="42" t="s">
        <v>58</v>
      </c>
      <c r="D10" s="187">
        <v>2.3939396006003713</v>
      </c>
      <c r="E10" s="187">
        <v>2.507282648107708</v>
      </c>
      <c r="F10" s="187">
        <v>2.6075739540320164</v>
      </c>
      <c r="H10" s="123"/>
    </row>
    <row r="11" spans="1:8" ht="18" customHeight="1" x14ac:dyDescent="0.2">
      <c r="B11" s="2">
        <v>3</v>
      </c>
      <c r="C11" s="3" t="s">
        <v>59</v>
      </c>
      <c r="D11" s="187">
        <v>1.7674013562134336</v>
      </c>
      <c r="E11" s="187">
        <v>1.9131758561373955</v>
      </c>
      <c r="F11" s="187">
        <v>1.9897028903828913</v>
      </c>
      <c r="H11" s="123"/>
    </row>
    <row r="12" spans="1:8" ht="18" customHeight="1" x14ac:dyDescent="0.2">
      <c r="B12" s="2">
        <v>4</v>
      </c>
      <c r="C12" s="42" t="s">
        <v>60</v>
      </c>
      <c r="D12" s="187">
        <v>0.10198235005432928</v>
      </c>
      <c r="E12" s="187">
        <v>0.10541061661603454</v>
      </c>
      <c r="F12" s="187">
        <v>0.10962704128067592</v>
      </c>
      <c r="H12" s="123"/>
    </row>
    <row r="13" spans="1:8" ht="18" customHeight="1" x14ac:dyDescent="0.2">
      <c r="B13" s="2">
        <v>5</v>
      </c>
      <c r="C13" s="42" t="s">
        <v>61</v>
      </c>
      <c r="D13" s="187">
        <v>0</v>
      </c>
      <c r="E13" s="187">
        <v>0</v>
      </c>
      <c r="F13" s="187">
        <v>0</v>
      </c>
      <c r="H13" s="123"/>
    </row>
    <row r="14" spans="1:8" ht="18" customHeight="1" x14ac:dyDescent="0.2">
      <c r="B14" s="2">
        <v>6</v>
      </c>
      <c r="C14" s="3" t="s">
        <v>62</v>
      </c>
      <c r="D14" s="187">
        <v>3.0308016913595979</v>
      </c>
      <c r="E14" s="187">
        <v>3.1615579911825313</v>
      </c>
      <c r="F14" s="187">
        <v>3.2880203108298325</v>
      </c>
      <c r="H14" s="123"/>
    </row>
    <row r="15" spans="1:8" ht="18" customHeight="1" x14ac:dyDescent="0.2">
      <c r="B15" s="2">
        <v>7</v>
      </c>
      <c r="C15" s="42" t="s">
        <v>63</v>
      </c>
      <c r="D15" s="187">
        <v>3.2147510935723584</v>
      </c>
      <c r="E15" s="187">
        <v>3.3696451836461772</v>
      </c>
      <c r="F15" s="187">
        <v>3.5044309909920242</v>
      </c>
      <c r="H15" s="123"/>
    </row>
    <row r="16" spans="1:8" ht="18" customHeight="1" x14ac:dyDescent="0.2">
      <c r="B16" s="2">
        <v>8</v>
      </c>
      <c r="C16" s="42" t="s">
        <v>64</v>
      </c>
      <c r="D16" s="187">
        <v>0.10839209675280692</v>
      </c>
      <c r="E16" s="187">
        <v>9.6039697095137239E-2</v>
      </c>
      <c r="F16" s="187">
        <v>9.9881284978942733E-2</v>
      </c>
      <c r="H16" s="123"/>
    </row>
    <row r="17" spans="2:8" ht="18" customHeight="1" x14ac:dyDescent="0.2">
      <c r="B17" s="2">
        <v>9</v>
      </c>
      <c r="C17" s="42" t="s">
        <v>65</v>
      </c>
      <c r="D17" s="187">
        <v>0</v>
      </c>
      <c r="E17" s="187">
        <v>0</v>
      </c>
      <c r="F17" s="187">
        <v>0</v>
      </c>
      <c r="H17" s="123"/>
    </row>
    <row r="18" spans="2:8" ht="18" customHeight="1" x14ac:dyDescent="0.2">
      <c r="B18" s="2">
        <v>10</v>
      </c>
      <c r="C18" s="42" t="s">
        <v>66</v>
      </c>
      <c r="D18" s="187">
        <v>0</v>
      </c>
      <c r="E18" s="187">
        <v>0</v>
      </c>
      <c r="F18" s="187">
        <v>0</v>
      </c>
      <c r="H18" s="123"/>
    </row>
    <row r="19" spans="2:8" ht="18" customHeight="1" x14ac:dyDescent="0.2">
      <c r="B19" s="2">
        <v>11</v>
      </c>
      <c r="C19" s="42" t="s">
        <v>67</v>
      </c>
      <c r="D19" s="187">
        <v>4.3610718494148788E-4</v>
      </c>
      <c r="E19" s="187">
        <v>4.7078097820494561E-4</v>
      </c>
      <c r="F19" s="187">
        <v>4.896122173331434E-4</v>
      </c>
      <c r="H19" s="123"/>
    </row>
    <row r="20" spans="2:8" ht="18" customHeight="1" x14ac:dyDescent="0.2">
      <c r="B20" s="2">
        <v>12</v>
      </c>
      <c r="C20" s="42" t="s">
        <v>68</v>
      </c>
      <c r="D20" s="187">
        <v>0.21879345777195994</v>
      </c>
      <c r="E20" s="187">
        <v>0.22605388012052324</v>
      </c>
      <c r="F20" s="187">
        <v>0.23509603532534418</v>
      </c>
      <c r="H20" s="123"/>
    </row>
    <row r="21" spans="2:8" ht="18" customHeight="1" x14ac:dyDescent="0.2">
      <c r="B21" s="2">
        <v>13</v>
      </c>
      <c r="C21" s="42" t="s">
        <v>69</v>
      </c>
      <c r="D21" s="187">
        <v>0</v>
      </c>
      <c r="E21" s="187">
        <v>0</v>
      </c>
      <c r="F21" s="187">
        <v>0</v>
      </c>
      <c r="H21" s="123"/>
    </row>
    <row r="22" spans="2:8" ht="18" customHeight="1" x14ac:dyDescent="0.2">
      <c r="B22" s="2">
        <v>14</v>
      </c>
      <c r="C22" s="42" t="s">
        <v>70</v>
      </c>
      <c r="D22" s="187">
        <v>0</v>
      </c>
      <c r="E22" s="187">
        <v>0</v>
      </c>
      <c r="F22" s="187">
        <v>0</v>
      </c>
      <c r="H22" s="123"/>
    </row>
    <row r="23" spans="2:8" ht="18" customHeight="1" x14ac:dyDescent="0.2">
      <c r="B23" s="2">
        <v>15</v>
      </c>
      <c r="C23" s="42" t="s">
        <v>71</v>
      </c>
      <c r="D23" s="187">
        <v>0</v>
      </c>
      <c r="E23" s="187">
        <v>0</v>
      </c>
      <c r="F23" s="187">
        <v>0</v>
      </c>
      <c r="H23" s="123"/>
    </row>
    <row r="24" spans="2:8" ht="18" customHeight="1" x14ac:dyDescent="0.2">
      <c r="B24" s="2">
        <v>16</v>
      </c>
      <c r="C24" s="42" t="s">
        <v>72</v>
      </c>
      <c r="D24" s="187">
        <v>0</v>
      </c>
      <c r="E24" s="187">
        <v>0</v>
      </c>
      <c r="F24" s="187">
        <v>0</v>
      </c>
      <c r="H24" s="123"/>
    </row>
    <row r="25" spans="2:8" ht="18" customHeight="1" x14ac:dyDescent="0.2">
      <c r="B25" s="2">
        <v>17</v>
      </c>
      <c r="C25" s="42" t="s">
        <v>73</v>
      </c>
      <c r="D25" s="116">
        <f>SUM(D9:D24)</f>
        <v>29.074125760073475</v>
      </c>
      <c r="E25" s="117">
        <f>SUM(E9:E24)</f>
        <v>30.48029208361131</v>
      </c>
      <c r="F25" s="117">
        <f>SUM(F9:F24)</f>
        <v>31.699503766955761</v>
      </c>
      <c r="H25" s="124"/>
    </row>
    <row r="26" spans="2:8" ht="18" customHeight="1" x14ac:dyDescent="0.2">
      <c r="B26" s="2">
        <v>18</v>
      </c>
      <c r="C26" s="42" t="s">
        <v>74</v>
      </c>
      <c r="D26" s="187">
        <v>0</v>
      </c>
      <c r="E26" s="187">
        <v>0</v>
      </c>
      <c r="F26" s="187">
        <v>0</v>
      </c>
    </row>
    <row r="27" spans="2:8" ht="18" customHeight="1" x14ac:dyDescent="0.2">
      <c r="B27" s="2">
        <f>+B26+0.1</f>
        <v>18.100000000000001</v>
      </c>
      <c r="C27" s="42" t="s">
        <v>75</v>
      </c>
      <c r="D27" s="187">
        <v>0</v>
      </c>
      <c r="E27" s="187">
        <v>0</v>
      </c>
      <c r="F27" s="187">
        <v>0</v>
      </c>
    </row>
    <row r="28" spans="2:8" ht="18" customHeight="1" x14ac:dyDescent="0.2">
      <c r="B28" s="2">
        <f>+B27+0.1</f>
        <v>18.200000000000003</v>
      </c>
      <c r="C28" s="42" t="s">
        <v>76</v>
      </c>
      <c r="D28" s="187">
        <v>1.9430500689724988</v>
      </c>
      <c r="E28" s="187">
        <v>2.056</v>
      </c>
      <c r="F28" s="187">
        <v>2.1352990561451382</v>
      </c>
    </row>
    <row r="29" spans="2:8" ht="18" customHeight="1" x14ac:dyDescent="0.2">
      <c r="B29" s="2">
        <f>+B28+0.1</f>
        <v>18.300000000000004</v>
      </c>
      <c r="C29" s="42" t="s">
        <v>77</v>
      </c>
      <c r="D29" s="187">
        <v>0</v>
      </c>
      <c r="E29" s="187">
        <v>0</v>
      </c>
      <c r="F29" s="187">
        <v>0</v>
      </c>
    </row>
    <row r="30" spans="2:8" ht="18" customHeight="1" x14ac:dyDescent="0.2">
      <c r="B30" s="2">
        <f>+B29+0.1</f>
        <v>18.400000000000006</v>
      </c>
      <c r="C30" s="42" t="s">
        <v>78</v>
      </c>
      <c r="D30" s="187">
        <v>7.3234365158318164</v>
      </c>
      <c r="E30" s="187">
        <v>7.78</v>
      </c>
      <c r="F30" s="187">
        <v>8.0907863914349853</v>
      </c>
    </row>
    <row r="31" spans="2:8" ht="27" customHeight="1" x14ac:dyDescent="0.2">
      <c r="B31" s="2">
        <v>19</v>
      </c>
      <c r="C31" s="46" t="s">
        <v>290</v>
      </c>
      <c r="D31" s="187">
        <v>0</v>
      </c>
      <c r="E31" s="187">
        <v>0</v>
      </c>
      <c r="F31" s="187">
        <v>0</v>
      </c>
    </row>
    <row r="32" spans="2:8" ht="18" customHeight="1" x14ac:dyDescent="0.2">
      <c r="B32" s="2">
        <v>20</v>
      </c>
      <c r="C32" s="42" t="s">
        <v>79</v>
      </c>
      <c r="D32" s="187">
        <v>0</v>
      </c>
      <c r="E32" s="187">
        <v>0</v>
      </c>
      <c r="F32" s="187">
        <v>0</v>
      </c>
    </row>
    <row r="33" spans="2:6" ht="18" customHeight="1" x14ac:dyDescent="0.25">
      <c r="B33" s="14">
        <v>21</v>
      </c>
      <c r="C33" s="43" t="s">
        <v>80</v>
      </c>
      <c r="D33" s="104">
        <f>SUM(D25:D32)</f>
        <v>38.34061234487779</v>
      </c>
      <c r="E33" s="104">
        <f>SUM(E25:E32)</f>
        <v>40.316292083611309</v>
      </c>
      <c r="F33" s="104">
        <f>SUM(F25:F32)</f>
        <v>41.92558921453589</v>
      </c>
    </row>
    <row r="34" spans="2:6" ht="18" customHeight="1" x14ac:dyDescent="0.25">
      <c r="B34" s="2">
        <v>22</v>
      </c>
      <c r="C34" s="42" t="s">
        <v>13</v>
      </c>
      <c r="D34" s="182"/>
      <c r="E34" s="183"/>
      <c r="F34" s="183"/>
    </row>
    <row r="35" spans="2:6" ht="18" customHeight="1" x14ac:dyDescent="0.2">
      <c r="B35" s="14">
        <v>23</v>
      </c>
      <c r="C35" s="19" t="s">
        <v>81</v>
      </c>
      <c r="D35" s="160">
        <f>ROUND(D33-D34,2)</f>
        <v>38.340000000000003</v>
      </c>
      <c r="E35" s="160">
        <f t="shared" ref="E35:F35" si="0">ROUND(E33-E34,2)</f>
        <v>40.32</v>
      </c>
      <c r="F35" s="160">
        <f t="shared" si="0"/>
        <v>41.93</v>
      </c>
    </row>
    <row r="36" spans="2:6" ht="27.75" customHeight="1" x14ac:dyDescent="0.2">
      <c r="B36" s="44"/>
      <c r="D36" s="125"/>
    </row>
    <row r="37" spans="2:6" x14ac:dyDescent="0.2">
      <c r="B37" s="45"/>
    </row>
  </sheetData>
  <mergeCells count="5">
    <mergeCell ref="B6:B8"/>
    <mergeCell ref="C6:C8"/>
    <mergeCell ref="B1:F1"/>
    <mergeCell ref="B3:F3"/>
    <mergeCell ref="A2:F2"/>
  </mergeCells>
  <pageMargins left="1" right="0.25" top="0.25" bottom="0.25" header="0.5" footer="0.5"/>
  <pageSetup paperSize="9" scale="95" fitToHeight="0" orientation="landscape" r:id="rId1"/>
  <headerFooter alignWithMargins="0"/>
  <rowBreaks count="1" manualBreakCount="1">
    <brk id="35" min="1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38"/>
  <sheetViews>
    <sheetView showGridLines="0" view="pageBreakPreview" topLeftCell="A19" zoomScale="96" zoomScaleSheetLayoutView="96" workbookViewId="0">
      <selection activeCell="F38" sqref="F38"/>
    </sheetView>
  </sheetViews>
  <sheetFormatPr defaultColWidth="9.28515625" defaultRowHeight="14.25" x14ac:dyDescent="0.2"/>
  <cols>
    <col min="1" max="1" width="2" style="13" customWidth="1"/>
    <col min="2" max="2" width="7" style="13" customWidth="1"/>
    <col min="3" max="3" width="50.28515625" style="13" customWidth="1"/>
    <col min="4" max="5" width="15.7109375" style="13" customWidth="1"/>
    <col min="6" max="6" width="16.140625" style="13" customWidth="1"/>
    <col min="7" max="16384" width="9.28515625" style="13"/>
  </cols>
  <sheetData>
    <row r="1" spans="2:6" ht="14.25" customHeight="1" x14ac:dyDescent="0.2">
      <c r="B1" s="224" t="s">
        <v>298</v>
      </c>
      <c r="C1" s="224"/>
      <c r="D1" s="224"/>
      <c r="E1" s="224"/>
      <c r="F1" s="224"/>
    </row>
    <row r="2" spans="2:6" ht="14.25" customHeight="1" x14ac:dyDescent="0.2">
      <c r="B2" s="35"/>
      <c r="C2" s="224" t="str">
        <f>'F1'!$F$3</f>
        <v>Pulichinthala HES</v>
      </c>
      <c r="D2" s="224"/>
      <c r="E2" s="224"/>
      <c r="F2" s="224"/>
    </row>
    <row r="3" spans="2:6" s="4" customFormat="1" ht="15" x14ac:dyDescent="0.2">
      <c r="B3" s="224" t="s">
        <v>301</v>
      </c>
      <c r="C3" s="224"/>
      <c r="D3" s="224"/>
      <c r="E3" s="224"/>
      <c r="F3" s="224"/>
    </row>
    <row r="4" spans="2:6" ht="15" x14ac:dyDescent="0.2">
      <c r="F4" s="26" t="s">
        <v>4</v>
      </c>
    </row>
    <row r="5" spans="2:6" ht="12.75" customHeight="1" x14ac:dyDescent="0.2">
      <c r="B5" s="219" t="s">
        <v>164</v>
      </c>
      <c r="C5" s="217" t="s">
        <v>14</v>
      </c>
      <c r="D5" s="15" t="s">
        <v>299</v>
      </c>
      <c r="E5" s="15" t="s">
        <v>300</v>
      </c>
      <c r="F5" s="23" t="s">
        <v>326</v>
      </c>
    </row>
    <row r="6" spans="2:6" ht="15" x14ac:dyDescent="0.2">
      <c r="B6" s="219"/>
      <c r="C6" s="217"/>
      <c r="D6" s="15" t="s">
        <v>206</v>
      </c>
      <c r="E6" s="15" t="s">
        <v>205</v>
      </c>
      <c r="F6" s="15" t="s">
        <v>205</v>
      </c>
    </row>
    <row r="7" spans="2:6" ht="15" x14ac:dyDescent="0.2">
      <c r="B7" s="219"/>
      <c r="C7" s="217"/>
      <c r="D7" s="15" t="s">
        <v>12</v>
      </c>
      <c r="E7" s="15" t="s">
        <v>5</v>
      </c>
      <c r="F7" s="15" t="s">
        <v>8</v>
      </c>
    </row>
    <row r="8" spans="2:6" x14ac:dyDescent="0.2">
      <c r="B8" s="3">
        <v>1</v>
      </c>
      <c r="C8" s="52" t="s">
        <v>82</v>
      </c>
      <c r="D8" s="187">
        <v>0.14485780007070798</v>
      </c>
      <c r="E8" s="187">
        <v>0.15462179902900161</v>
      </c>
      <c r="F8" s="187">
        <v>0.16389910697074173</v>
      </c>
    </row>
    <row r="9" spans="2:6" x14ac:dyDescent="0.2">
      <c r="B9" s="3">
        <v>2</v>
      </c>
      <c r="C9" s="53" t="s">
        <v>83</v>
      </c>
      <c r="D9" s="187">
        <v>0</v>
      </c>
      <c r="E9" s="187">
        <v>0</v>
      </c>
      <c r="F9" s="187">
        <v>0</v>
      </c>
    </row>
    <row r="10" spans="2:6" x14ac:dyDescent="0.2">
      <c r="B10" s="3">
        <v>3</v>
      </c>
      <c r="C10" s="53" t="s">
        <v>84</v>
      </c>
      <c r="D10" s="187">
        <v>1.9470994286914404E-2</v>
      </c>
      <c r="E10" s="187">
        <v>2.1420100726981254E-2</v>
      </c>
      <c r="F10" s="187">
        <v>2.270530677060013E-2</v>
      </c>
    </row>
    <row r="11" spans="2:6" x14ac:dyDescent="0.2">
      <c r="B11" s="3">
        <v>4</v>
      </c>
      <c r="C11" s="53" t="s">
        <v>85</v>
      </c>
      <c r="D11" s="187">
        <v>4.7738218846497399E-2</v>
      </c>
      <c r="E11" s="187">
        <v>5.2476356664818244E-2</v>
      </c>
      <c r="F11" s="187">
        <v>5.5624938064707342E-2</v>
      </c>
    </row>
    <row r="12" spans="2:6" x14ac:dyDescent="0.2">
      <c r="B12" s="3">
        <v>5</v>
      </c>
      <c r="C12" s="53" t="s">
        <v>86</v>
      </c>
      <c r="D12" s="187">
        <v>3.6454923665336439E-3</v>
      </c>
      <c r="E12" s="187">
        <v>4.0314001318213942E-3</v>
      </c>
      <c r="F12" s="187">
        <v>4.273284139730678E-3</v>
      </c>
    </row>
    <row r="13" spans="2:6" x14ac:dyDescent="0.2">
      <c r="B13" s="3">
        <v>6</v>
      </c>
      <c r="C13" s="53" t="s">
        <v>87</v>
      </c>
      <c r="D13" s="187">
        <v>2.4193822887013015E-2</v>
      </c>
      <c r="E13" s="187">
        <v>2.6569455397868716E-2</v>
      </c>
      <c r="F13" s="187">
        <v>2.816362272174084E-2</v>
      </c>
    </row>
    <row r="14" spans="2:6" x14ac:dyDescent="0.2">
      <c r="B14" s="3">
        <v>7</v>
      </c>
      <c r="C14" s="53" t="s">
        <v>88</v>
      </c>
      <c r="D14" s="187">
        <v>8.0959386031924249E-2</v>
      </c>
      <c r="E14" s="187">
        <v>6.2550194668840958E-2</v>
      </c>
      <c r="F14" s="187">
        <v>6.6303206348971425E-2</v>
      </c>
    </row>
    <row r="15" spans="2:6" x14ac:dyDescent="0.2">
      <c r="B15" s="3">
        <v>8</v>
      </c>
      <c r="C15" s="53" t="s">
        <v>89</v>
      </c>
      <c r="D15" s="187">
        <v>4.1009218393876605E-4</v>
      </c>
      <c r="E15" s="187">
        <v>4.5350408618786151E-4</v>
      </c>
      <c r="F15" s="187">
        <v>4.807143313591332E-4</v>
      </c>
    </row>
    <row r="16" spans="2:6" x14ac:dyDescent="0.2">
      <c r="B16" s="3">
        <v>9</v>
      </c>
      <c r="C16" s="53" t="s">
        <v>90</v>
      </c>
      <c r="D16" s="187">
        <v>2.612062143724303E-2</v>
      </c>
      <c r="E16" s="187">
        <v>1.8111032669024456E-2</v>
      </c>
      <c r="F16" s="187">
        <v>1.9197694629165925E-2</v>
      </c>
    </row>
    <row r="17" spans="2:6" x14ac:dyDescent="0.2">
      <c r="B17" s="3">
        <v>10</v>
      </c>
      <c r="C17" s="53" t="s">
        <v>91</v>
      </c>
      <c r="D17" s="187">
        <v>6.798263511633304E-2</v>
      </c>
      <c r="E17" s="187">
        <v>7.5179201219984643E-2</v>
      </c>
      <c r="F17" s="187">
        <v>7.9689953293183721E-2</v>
      </c>
    </row>
    <row r="18" spans="2:6" x14ac:dyDescent="0.2">
      <c r="B18" s="3">
        <v>11</v>
      </c>
      <c r="C18" s="53" t="s">
        <v>92</v>
      </c>
      <c r="D18" s="187">
        <v>6.6440014979023414E-5</v>
      </c>
      <c r="E18" s="187">
        <v>6.9560254612781154E-5</v>
      </c>
      <c r="F18" s="187">
        <v>7.3733869889548029E-5</v>
      </c>
    </row>
    <row r="19" spans="2:6" x14ac:dyDescent="0.2">
      <c r="B19" s="3">
        <v>12</v>
      </c>
      <c r="C19" s="53" t="s">
        <v>93</v>
      </c>
      <c r="D19" s="187">
        <v>0</v>
      </c>
      <c r="E19" s="187">
        <v>0</v>
      </c>
      <c r="F19" s="187">
        <v>0</v>
      </c>
    </row>
    <row r="20" spans="2:6" x14ac:dyDescent="0.2">
      <c r="B20" s="3">
        <v>13</v>
      </c>
      <c r="C20" s="53" t="s">
        <v>94</v>
      </c>
      <c r="D20" s="187">
        <v>1.3630806564512281E-2</v>
      </c>
      <c r="E20" s="187">
        <v>1.5142901995647374E-2</v>
      </c>
      <c r="F20" s="187">
        <v>1.6051476115386216E-2</v>
      </c>
    </row>
    <row r="21" spans="2:6" x14ac:dyDescent="0.2">
      <c r="B21" s="3">
        <v>14</v>
      </c>
      <c r="C21" s="53" t="s">
        <v>95</v>
      </c>
      <c r="D21" s="187">
        <v>1.0170485706589032E-2</v>
      </c>
      <c r="E21" s="187">
        <v>2.2087140434256615E-2</v>
      </c>
      <c r="F21" s="187">
        <v>2.3412368860312012E-2</v>
      </c>
    </row>
    <row r="22" spans="2:6" x14ac:dyDescent="0.2">
      <c r="B22" s="3">
        <v>15</v>
      </c>
      <c r="C22" s="53" t="s">
        <v>96</v>
      </c>
      <c r="D22" s="187">
        <v>0</v>
      </c>
      <c r="E22" s="187">
        <v>0</v>
      </c>
      <c r="F22" s="187">
        <v>0</v>
      </c>
    </row>
    <row r="23" spans="2:6" x14ac:dyDescent="0.2">
      <c r="B23" s="3">
        <v>16</v>
      </c>
      <c r="C23" s="52" t="s">
        <v>97</v>
      </c>
      <c r="D23" s="187">
        <v>0</v>
      </c>
      <c r="E23" s="187">
        <v>0</v>
      </c>
      <c r="F23" s="187">
        <v>0</v>
      </c>
    </row>
    <row r="24" spans="2:6" x14ac:dyDescent="0.2">
      <c r="B24" s="3">
        <v>17</v>
      </c>
      <c r="C24" s="52" t="s">
        <v>98</v>
      </c>
      <c r="D24" s="187">
        <v>0</v>
      </c>
      <c r="E24" s="187">
        <v>0</v>
      </c>
      <c r="F24" s="187">
        <v>0</v>
      </c>
    </row>
    <row r="25" spans="2:6" x14ac:dyDescent="0.2">
      <c r="B25" s="3">
        <v>18</v>
      </c>
      <c r="C25" s="53" t="s">
        <v>99</v>
      </c>
      <c r="D25" s="187">
        <v>5.5412635054293436E-3</v>
      </c>
      <c r="E25" s="187">
        <v>6.1278554939030805E-3</v>
      </c>
      <c r="F25" s="187">
        <v>6.4955268235372659E-3</v>
      </c>
    </row>
    <row r="26" spans="2:6" x14ac:dyDescent="0.2">
      <c r="B26" s="3">
        <v>19</v>
      </c>
      <c r="C26" s="53" t="s">
        <v>100</v>
      </c>
      <c r="D26" s="187">
        <v>0.44617758433009813</v>
      </c>
      <c r="E26" s="187">
        <v>0.48882731302068422</v>
      </c>
      <c r="F26" s="187">
        <v>0.51815695180192534</v>
      </c>
    </row>
    <row r="27" spans="2:6" x14ac:dyDescent="0.2">
      <c r="B27" s="3">
        <v>20</v>
      </c>
      <c r="C27" s="53" t="s">
        <v>101</v>
      </c>
      <c r="D27" s="187">
        <v>0</v>
      </c>
      <c r="E27" s="187">
        <v>0</v>
      </c>
      <c r="F27" s="187">
        <v>0</v>
      </c>
    </row>
    <row r="28" spans="2:6" x14ac:dyDescent="0.2">
      <c r="B28" s="3">
        <v>21</v>
      </c>
      <c r="C28" s="53" t="s">
        <v>102</v>
      </c>
      <c r="D28" s="187">
        <v>0</v>
      </c>
      <c r="E28" s="187">
        <v>0</v>
      </c>
      <c r="F28" s="187">
        <v>0</v>
      </c>
    </row>
    <row r="29" spans="2:6" x14ac:dyDescent="0.2">
      <c r="B29" s="3">
        <v>22</v>
      </c>
      <c r="C29" s="53" t="s">
        <v>103</v>
      </c>
      <c r="D29" s="187">
        <v>9.0210849332280151E-7</v>
      </c>
      <c r="E29" s="187">
        <v>9.9760469457704402E-7</v>
      </c>
      <c r="F29" s="187">
        <v>1.0574609762516668E-6</v>
      </c>
    </row>
    <row r="30" spans="2:6" x14ac:dyDescent="0.2">
      <c r="B30" s="3">
        <v>23</v>
      </c>
      <c r="C30" s="53" t="s">
        <v>104</v>
      </c>
      <c r="D30" s="187">
        <v>0</v>
      </c>
      <c r="E30" s="187">
        <v>0</v>
      </c>
      <c r="F30" s="187">
        <v>0</v>
      </c>
    </row>
    <row r="31" spans="2:6" x14ac:dyDescent="0.2">
      <c r="B31" s="3">
        <v>24</v>
      </c>
      <c r="C31" s="53" t="s">
        <v>105</v>
      </c>
      <c r="D31" s="187">
        <v>8.8376990812572848E-3</v>
      </c>
      <c r="E31" s="187">
        <v>9.7732480715783231E-3</v>
      </c>
      <c r="F31" s="187">
        <v>1.0359642955873024E-2</v>
      </c>
    </row>
    <row r="32" spans="2:6" x14ac:dyDescent="0.2">
      <c r="B32" s="3">
        <v>25</v>
      </c>
      <c r="C32" s="53" t="s">
        <v>106</v>
      </c>
      <c r="D32" s="187">
        <v>0</v>
      </c>
      <c r="E32" s="187">
        <v>0</v>
      </c>
      <c r="F32" s="187">
        <v>0</v>
      </c>
    </row>
    <row r="33" spans="2:6" x14ac:dyDescent="0.2">
      <c r="B33" s="3">
        <v>26</v>
      </c>
      <c r="C33" s="53" t="s">
        <v>107</v>
      </c>
      <c r="D33" s="187">
        <v>0</v>
      </c>
      <c r="E33" s="187">
        <v>0</v>
      </c>
      <c r="F33" s="187">
        <v>0</v>
      </c>
    </row>
    <row r="34" spans="2:6" x14ac:dyDescent="0.2">
      <c r="B34" s="3">
        <v>27</v>
      </c>
      <c r="C34" s="53" t="s">
        <v>108</v>
      </c>
      <c r="D34" s="187">
        <v>1.2608611450885838E-3</v>
      </c>
      <c r="E34" s="187">
        <v>1.6387525750124346E-3</v>
      </c>
      <c r="F34" s="187">
        <v>1.7370777295131808E-3</v>
      </c>
    </row>
    <row r="35" spans="2:6" x14ac:dyDescent="0.2">
      <c r="B35" s="3">
        <v>28</v>
      </c>
      <c r="C35" s="53" t="s">
        <v>79</v>
      </c>
      <c r="D35" s="187">
        <v>0.44577828164404976</v>
      </c>
      <c r="E35" s="187">
        <v>0.50451007993825514</v>
      </c>
      <c r="F35" s="187">
        <v>0.52</v>
      </c>
    </row>
    <row r="36" spans="2:6" ht="15" x14ac:dyDescent="0.25">
      <c r="B36" s="3">
        <v>29</v>
      </c>
      <c r="C36" s="54" t="s">
        <v>109</v>
      </c>
      <c r="D36" s="95">
        <f>SUM(D8:D35)</f>
        <v>1.3468433873276022</v>
      </c>
      <c r="E36" s="95">
        <f>SUM(E8:E35)</f>
        <v>1.4635908939831737</v>
      </c>
      <c r="F36" s="95">
        <f>SUM(F8:F35)</f>
        <v>1.5366256628876138</v>
      </c>
    </row>
    <row r="37" spans="2:6" ht="15" x14ac:dyDescent="0.25">
      <c r="B37" s="3">
        <v>30</v>
      </c>
      <c r="C37" s="42" t="s">
        <v>13</v>
      </c>
      <c r="D37" s="182"/>
      <c r="E37" s="184"/>
      <c r="F37" s="184"/>
    </row>
    <row r="38" spans="2:6" ht="15" x14ac:dyDescent="0.2">
      <c r="B38" s="3">
        <v>31</v>
      </c>
      <c r="C38" s="19" t="s">
        <v>110</v>
      </c>
      <c r="D38" s="95">
        <f>ROUND(D36-D37,2)</f>
        <v>1.35</v>
      </c>
      <c r="E38" s="95">
        <f t="shared" ref="E38:F38" si="0">ROUND(E36-E37,2)</f>
        <v>1.46</v>
      </c>
      <c r="F38" s="95">
        <f t="shared" si="0"/>
        <v>1.54</v>
      </c>
    </row>
  </sheetData>
  <mergeCells count="5">
    <mergeCell ref="B5:B7"/>
    <mergeCell ref="C5:C7"/>
    <mergeCell ref="B3:F3"/>
    <mergeCell ref="B1:F1"/>
    <mergeCell ref="C2:F2"/>
  </mergeCells>
  <pageMargins left="0.75" right="0.25" top="0.25" bottom="0.25" header="0.5" footer="0.5"/>
  <pageSetup paperSize="9" fitToWidth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21"/>
  <sheetViews>
    <sheetView showGridLines="0" view="pageBreakPreview" zoomScale="90" zoomScaleNormal="98" zoomScaleSheetLayoutView="90" workbookViewId="0">
      <selection activeCell="F18" sqref="F18"/>
    </sheetView>
  </sheetViews>
  <sheetFormatPr defaultColWidth="9.28515625" defaultRowHeight="14.25" x14ac:dyDescent="0.2"/>
  <cols>
    <col min="1" max="1" width="4.5703125" style="13" customWidth="1"/>
    <col min="2" max="2" width="8.7109375" style="55" customWidth="1"/>
    <col min="3" max="3" width="45.7109375" style="13" customWidth="1"/>
    <col min="4" max="5" width="15.7109375" style="13" customWidth="1"/>
    <col min="6" max="6" width="12.28515625" style="13" customWidth="1"/>
    <col min="7" max="16384" width="9.28515625" style="13"/>
  </cols>
  <sheetData>
    <row r="2" spans="2:6" ht="14.25" customHeight="1" x14ac:dyDescent="0.2">
      <c r="B2" s="224" t="s">
        <v>298</v>
      </c>
      <c r="C2" s="224"/>
      <c r="D2" s="224"/>
      <c r="E2" s="224"/>
      <c r="F2" s="224"/>
    </row>
    <row r="3" spans="2:6" ht="14.25" customHeight="1" x14ac:dyDescent="0.2">
      <c r="B3" s="224" t="str">
        <f>'F1'!$F$3</f>
        <v>Pulichinthala HES</v>
      </c>
      <c r="C3" s="224"/>
      <c r="D3" s="224"/>
      <c r="E3" s="224"/>
      <c r="F3" s="224"/>
    </row>
    <row r="4" spans="2:6" s="4" customFormat="1" ht="14.25" customHeight="1" x14ac:dyDescent="0.2">
      <c r="B4" s="224" t="s">
        <v>235</v>
      </c>
      <c r="C4" s="224"/>
      <c r="D4" s="224"/>
      <c r="E4" s="224"/>
      <c r="F4" s="224"/>
    </row>
    <row r="6" spans="2:6" ht="15" x14ac:dyDescent="0.2">
      <c r="F6" s="26" t="s">
        <v>4</v>
      </c>
    </row>
    <row r="7" spans="2:6" ht="12.75" customHeight="1" x14ac:dyDescent="0.2">
      <c r="B7" s="219" t="s">
        <v>164</v>
      </c>
      <c r="C7" s="217" t="s">
        <v>14</v>
      </c>
      <c r="D7" s="15" t="s">
        <v>299</v>
      </c>
      <c r="E7" s="15" t="s">
        <v>300</v>
      </c>
      <c r="F7" s="23" t="s">
        <v>326</v>
      </c>
    </row>
    <row r="8" spans="2:6" ht="15" x14ac:dyDescent="0.2">
      <c r="B8" s="219"/>
      <c r="C8" s="217"/>
      <c r="D8" s="15" t="s">
        <v>206</v>
      </c>
      <c r="E8" s="15" t="s">
        <v>205</v>
      </c>
      <c r="F8" s="15" t="s">
        <v>205</v>
      </c>
    </row>
    <row r="9" spans="2:6" ht="15" x14ac:dyDescent="0.2">
      <c r="B9" s="219"/>
      <c r="C9" s="217"/>
      <c r="D9" s="15" t="s">
        <v>12</v>
      </c>
      <c r="E9" s="15" t="s">
        <v>5</v>
      </c>
      <c r="F9" s="15" t="s">
        <v>8</v>
      </c>
    </row>
    <row r="10" spans="2:6" x14ac:dyDescent="0.2">
      <c r="B10" s="2">
        <v>1</v>
      </c>
      <c r="C10" s="53" t="s">
        <v>111</v>
      </c>
      <c r="D10" s="187">
        <v>3.1352671233117455</v>
      </c>
      <c r="E10" s="187">
        <v>3.5139054291843581</v>
      </c>
      <c r="F10" s="187">
        <v>3.72473975493542</v>
      </c>
    </row>
    <row r="11" spans="2:6" x14ac:dyDescent="0.2">
      <c r="B11" s="2">
        <v>2</v>
      </c>
      <c r="C11" s="53" t="s">
        <v>112</v>
      </c>
      <c r="D11" s="187">
        <v>0.42207559319028842</v>
      </c>
      <c r="E11" s="187">
        <v>0.44609293410014317</v>
      </c>
      <c r="F11" s="187">
        <v>0.47285851014615177</v>
      </c>
    </row>
    <row r="12" spans="2:6" x14ac:dyDescent="0.2">
      <c r="B12" s="2">
        <v>3</v>
      </c>
      <c r="C12" s="53" t="s">
        <v>113</v>
      </c>
      <c r="D12" s="187">
        <v>0</v>
      </c>
      <c r="E12" s="187">
        <v>0</v>
      </c>
      <c r="F12" s="187">
        <v>0</v>
      </c>
    </row>
    <row r="13" spans="2:6" x14ac:dyDescent="0.2">
      <c r="B13" s="2">
        <v>4</v>
      </c>
      <c r="C13" s="53" t="s">
        <v>114</v>
      </c>
      <c r="D13" s="187">
        <v>0</v>
      </c>
      <c r="E13" s="187"/>
      <c r="F13" s="187">
        <v>0</v>
      </c>
    </row>
    <row r="14" spans="2:6" x14ac:dyDescent="0.2">
      <c r="B14" s="2">
        <v>5</v>
      </c>
      <c r="C14" s="53" t="s">
        <v>115</v>
      </c>
      <c r="D14" s="187">
        <v>0.23232495368079706</v>
      </c>
      <c r="E14" s="187">
        <v>0.24636001173300026</v>
      </c>
      <c r="F14" s="187">
        <v>0.26114161243698031</v>
      </c>
    </row>
    <row r="15" spans="2:6" x14ac:dyDescent="0.2">
      <c r="B15" s="2">
        <v>6</v>
      </c>
      <c r="C15" s="53" t="s">
        <v>116</v>
      </c>
      <c r="D15" s="187">
        <v>7.3848452288980453E-5</v>
      </c>
      <c r="E15" s="187">
        <v>6.9927432661716008E-5</v>
      </c>
      <c r="F15" s="187">
        <v>7.4123078621418968E-5</v>
      </c>
    </row>
    <row r="16" spans="2:6" x14ac:dyDescent="0.2">
      <c r="B16" s="2">
        <v>7</v>
      </c>
      <c r="C16" s="53" t="s">
        <v>117</v>
      </c>
      <c r="D16" s="187">
        <v>0</v>
      </c>
      <c r="E16" s="187">
        <v>0</v>
      </c>
      <c r="F16" s="187">
        <v>0</v>
      </c>
    </row>
    <row r="17" spans="2:6" x14ac:dyDescent="0.2">
      <c r="B17" s="2">
        <v>8</v>
      </c>
      <c r="C17" s="53" t="s">
        <v>118</v>
      </c>
      <c r="D17" s="187">
        <v>9.797069529761504E-2</v>
      </c>
      <c r="E17" s="187">
        <v>0.10385404330220688</v>
      </c>
      <c r="F17" s="187">
        <v>0.11008528590033929</v>
      </c>
    </row>
    <row r="18" spans="2:6" ht="15" x14ac:dyDescent="0.25">
      <c r="B18" s="2">
        <v>9</v>
      </c>
      <c r="C18" s="54" t="s">
        <v>119</v>
      </c>
      <c r="D18" s="95">
        <f>ROUND(SUM(D10:D17),2)</f>
        <v>3.89</v>
      </c>
      <c r="E18" s="95">
        <f t="shared" ref="E18:F18" si="0">ROUND(SUM(E10:E17),2)</f>
        <v>4.3099999999999996</v>
      </c>
      <c r="F18" s="95">
        <f t="shared" si="0"/>
        <v>4.57</v>
      </c>
    </row>
    <row r="19" spans="2:6" ht="15" x14ac:dyDescent="0.25">
      <c r="B19" s="2"/>
      <c r="C19" s="52"/>
      <c r="D19" s="182"/>
      <c r="E19" s="185"/>
      <c r="F19" s="186"/>
    </row>
    <row r="20" spans="2:6" ht="15" x14ac:dyDescent="0.2">
      <c r="B20" s="2">
        <v>10</v>
      </c>
      <c r="C20" s="56" t="s">
        <v>120</v>
      </c>
      <c r="D20" s="95">
        <f>'F4'!F20</f>
        <v>440.76</v>
      </c>
      <c r="E20" s="95">
        <f>'F4'!F35</f>
        <v>440.76</v>
      </c>
      <c r="F20" s="95">
        <f>'F4'!F50</f>
        <v>440.76</v>
      </c>
    </row>
    <row r="21" spans="2:6" ht="28.5" x14ac:dyDescent="0.2">
      <c r="B21" s="2">
        <v>11</v>
      </c>
      <c r="C21" s="56" t="s">
        <v>121</v>
      </c>
      <c r="D21" s="188">
        <f>IFERROR(D18/D20,0)</f>
        <v>8.8256647608675933E-3</v>
      </c>
      <c r="E21" s="103">
        <f t="shared" ref="E21:F21" si="1">IFERROR(E18/E20,0)</f>
        <v>9.7785642980306731E-3</v>
      </c>
      <c r="F21" s="103">
        <f t="shared" si="1"/>
        <v>1.0368454487703059E-2</v>
      </c>
    </row>
  </sheetData>
  <mergeCells count="5">
    <mergeCell ref="B7:B9"/>
    <mergeCell ref="C7:C9"/>
    <mergeCell ref="B4:F4"/>
    <mergeCell ref="B2:F2"/>
    <mergeCell ref="B3:F3"/>
  </mergeCells>
  <pageMargins left="1.25" right="0.75" top="1" bottom="1" header="0.5" footer="0.5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15"/>
  <sheetViews>
    <sheetView view="pageBreakPreview" zoomScale="90" zoomScaleNormal="118" zoomScaleSheetLayoutView="90" workbookViewId="0">
      <selection activeCell="F24" sqref="F24"/>
    </sheetView>
  </sheetViews>
  <sheetFormatPr defaultColWidth="9.28515625" defaultRowHeight="14.25" x14ac:dyDescent="0.2"/>
  <cols>
    <col min="1" max="1" width="4.28515625" style="4" customWidth="1"/>
    <col min="2" max="2" width="6.28515625" style="4" customWidth="1"/>
    <col min="3" max="3" width="34.5703125" style="4" customWidth="1"/>
    <col min="4" max="4" width="13.7109375" style="4" bestFit="1" customWidth="1"/>
    <col min="5" max="5" width="12.5703125" style="4" bestFit="1" customWidth="1"/>
    <col min="6" max="6" width="13.42578125" style="4" bestFit="1" customWidth="1"/>
    <col min="7" max="7" width="13.7109375" style="4" bestFit="1" customWidth="1"/>
    <col min="8" max="8" width="15.140625" style="4" customWidth="1"/>
    <col min="9" max="9" width="11.7109375" style="4" bestFit="1" customWidth="1"/>
    <col min="10" max="10" width="10.85546875" style="4" customWidth="1"/>
    <col min="11" max="16384" width="9.28515625" style="4"/>
  </cols>
  <sheetData>
    <row r="1" spans="2:10" ht="15" x14ac:dyDescent="0.25">
      <c r="B1" s="57"/>
    </row>
    <row r="2" spans="2:10" ht="14.25" customHeight="1" x14ac:dyDescent="0.2">
      <c r="B2" s="224" t="s">
        <v>298</v>
      </c>
      <c r="C2" s="224"/>
      <c r="D2" s="224"/>
      <c r="E2" s="224"/>
      <c r="F2" s="224"/>
      <c r="G2" s="224"/>
      <c r="H2" s="224"/>
    </row>
    <row r="3" spans="2:10" ht="14.25" customHeight="1" x14ac:dyDescent="0.2">
      <c r="B3" s="35"/>
      <c r="C3" s="35"/>
      <c r="D3" s="35"/>
      <c r="E3" s="35" t="str">
        <f>'F1'!$F$3</f>
        <v>Pulichinthala HES</v>
      </c>
      <c r="F3" s="35"/>
      <c r="G3" s="35"/>
      <c r="H3" s="35"/>
    </row>
    <row r="4" spans="2:10" ht="14.25" customHeight="1" x14ac:dyDescent="0.2">
      <c r="B4" s="224" t="s">
        <v>236</v>
      </c>
      <c r="C4" s="224"/>
      <c r="D4" s="224"/>
      <c r="E4" s="224"/>
      <c r="F4" s="224"/>
      <c r="G4" s="224"/>
      <c r="H4" s="224"/>
    </row>
    <row r="5" spans="2:10" ht="15" x14ac:dyDescent="0.2">
      <c r="I5" s="26" t="s">
        <v>4</v>
      </c>
    </row>
    <row r="6" spans="2:10" s="13" customFormat="1" ht="15" customHeight="1" x14ac:dyDescent="0.2">
      <c r="B6" s="214" t="s">
        <v>164</v>
      </c>
      <c r="C6" s="217" t="s">
        <v>14</v>
      </c>
      <c r="D6" s="221" t="s">
        <v>299</v>
      </c>
      <c r="E6" s="222"/>
      <c r="F6" s="223"/>
      <c r="G6" s="221" t="s">
        <v>300</v>
      </c>
      <c r="H6" s="223"/>
      <c r="I6" s="221" t="s">
        <v>326</v>
      </c>
      <c r="J6" s="223"/>
    </row>
    <row r="7" spans="2:10" s="13" customFormat="1" ht="45" x14ac:dyDescent="0.2">
      <c r="B7" s="215"/>
      <c r="C7" s="217"/>
      <c r="D7" s="15" t="s">
        <v>271</v>
      </c>
      <c r="E7" s="15" t="s">
        <v>206</v>
      </c>
      <c r="F7" s="15" t="s">
        <v>178</v>
      </c>
      <c r="G7" s="15" t="s">
        <v>271</v>
      </c>
      <c r="H7" s="15" t="s">
        <v>205</v>
      </c>
      <c r="I7" s="15" t="s">
        <v>271</v>
      </c>
      <c r="J7" s="15" t="s">
        <v>205</v>
      </c>
    </row>
    <row r="8" spans="2:10" s="13" customFormat="1" ht="30" x14ac:dyDescent="0.2">
      <c r="B8" s="216"/>
      <c r="C8" s="218"/>
      <c r="D8" s="15" t="s">
        <v>10</v>
      </c>
      <c r="E8" s="15" t="s">
        <v>12</v>
      </c>
      <c r="F8" s="15" t="s">
        <v>197</v>
      </c>
      <c r="G8" s="15" t="s">
        <v>10</v>
      </c>
      <c r="H8" s="15" t="s">
        <v>5</v>
      </c>
      <c r="I8" s="15" t="s">
        <v>10</v>
      </c>
      <c r="J8" s="15" t="s">
        <v>8</v>
      </c>
    </row>
    <row r="9" spans="2:10" s="5" customFormat="1" x14ac:dyDescent="0.2">
      <c r="B9" s="60">
        <v>1</v>
      </c>
      <c r="C9" s="27" t="s">
        <v>210</v>
      </c>
      <c r="D9" s="2"/>
      <c r="E9" s="27"/>
      <c r="F9" s="27"/>
      <c r="G9" s="94"/>
      <c r="H9" s="94">
        <f>E12</f>
        <v>0</v>
      </c>
      <c r="I9" s="94"/>
      <c r="J9" s="94">
        <f>H12</f>
        <v>0</v>
      </c>
    </row>
    <row r="10" spans="2:10" s="5" customFormat="1" x14ac:dyDescent="0.2">
      <c r="B10" s="20">
        <v>2</v>
      </c>
      <c r="C10" s="27" t="s">
        <v>239</v>
      </c>
      <c r="D10" s="2"/>
      <c r="E10" s="91"/>
      <c r="F10" s="91"/>
      <c r="G10" s="21"/>
      <c r="H10" s="94"/>
      <c r="I10" s="94"/>
      <c r="J10" s="94"/>
    </row>
    <row r="11" spans="2:10" s="5" customFormat="1" ht="15" x14ac:dyDescent="0.2">
      <c r="B11" s="20">
        <v>3</v>
      </c>
      <c r="C11" s="29" t="s">
        <v>191</v>
      </c>
      <c r="D11" s="101"/>
      <c r="E11" s="106"/>
      <c r="F11" s="106"/>
      <c r="G11" s="101"/>
      <c r="H11" s="93"/>
      <c r="I11" s="93"/>
      <c r="J11" s="93"/>
    </row>
    <row r="12" spans="2:10" s="5" customFormat="1" ht="15" x14ac:dyDescent="0.2">
      <c r="B12" s="20">
        <v>4</v>
      </c>
      <c r="C12" s="27" t="s">
        <v>211</v>
      </c>
      <c r="D12" s="102">
        <f>D9+D10-D11</f>
        <v>0</v>
      </c>
      <c r="E12" s="102">
        <f t="shared" ref="E12:J12" si="0">E9+E10-E11</f>
        <v>0</v>
      </c>
      <c r="F12" s="102">
        <f t="shared" si="0"/>
        <v>0</v>
      </c>
      <c r="G12" s="102">
        <f t="shared" si="0"/>
        <v>0</v>
      </c>
      <c r="H12" s="102">
        <f>H9+H10-H11</f>
        <v>0</v>
      </c>
      <c r="I12" s="102">
        <f>I9+I10-I11</f>
        <v>0</v>
      </c>
      <c r="J12" s="102">
        <f t="shared" si="0"/>
        <v>0</v>
      </c>
    </row>
    <row r="13" spans="2:10" s="32" customFormat="1" ht="15" x14ac:dyDescent="0.2">
      <c r="B13" s="61"/>
      <c r="C13" s="49"/>
      <c r="D13" s="58"/>
      <c r="E13" s="58"/>
      <c r="F13" s="58"/>
      <c r="G13" s="59"/>
      <c r="H13" s="24"/>
    </row>
    <row r="15" spans="2:10" x14ac:dyDescent="0.2">
      <c r="B15" s="62"/>
    </row>
  </sheetData>
  <mergeCells count="7">
    <mergeCell ref="I6:J6"/>
    <mergeCell ref="B4:H4"/>
    <mergeCell ref="B2:H2"/>
    <mergeCell ref="B6:B8"/>
    <mergeCell ref="C6:C8"/>
    <mergeCell ref="D6:F6"/>
    <mergeCell ref="G6:H6"/>
  </mergeCells>
  <pageMargins left="0.27" right="0.25" top="1" bottom="1" header="0.25" footer="0.25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25"/>
  <sheetViews>
    <sheetView showGridLines="0" tabSelected="1" view="pageBreakPreview" zoomScale="90" zoomScaleNormal="106" zoomScaleSheetLayoutView="90" workbookViewId="0">
      <selection activeCell="G30" sqref="G30"/>
    </sheetView>
  </sheetViews>
  <sheetFormatPr defaultColWidth="9.140625" defaultRowHeight="14.25" x14ac:dyDescent="0.2"/>
  <cols>
    <col min="1" max="1" width="4.140625" style="5" customWidth="1"/>
    <col min="2" max="2" width="6.28515625" style="5" customWidth="1"/>
    <col min="3" max="3" width="18.140625" style="5" customWidth="1"/>
    <col min="4" max="4" width="23.140625" style="5" customWidth="1"/>
    <col min="5" max="5" width="28" style="5" customWidth="1"/>
    <col min="6" max="6" width="22" style="5" customWidth="1"/>
    <col min="7" max="7" width="23.5703125" style="5" customWidth="1"/>
    <col min="8" max="8" width="21.7109375" style="5" customWidth="1"/>
    <col min="9" max="9" width="35" style="5" customWidth="1"/>
    <col min="10" max="10" width="20" style="5" customWidth="1"/>
    <col min="11" max="11" width="36.42578125" style="5" customWidth="1"/>
    <col min="12" max="12" width="16.140625" style="5" customWidth="1"/>
    <col min="13" max="13" width="13.140625" style="5" bestFit="1" customWidth="1"/>
    <col min="14" max="14" width="12.5703125" style="5" customWidth="1"/>
    <col min="15" max="15" width="11.85546875" style="5" bestFit="1" customWidth="1"/>
    <col min="16" max="16" width="13.85546875" style="5" bestFit="1" customWidth="1"/>
    <col min="17" max="21" width="11.85546875" style="5" bestFit="1" customWidth="1"/>
    <col min="22" max="22" width="11.7109375" style="5" bestFit="1" customWidth="1"/>
    <col min="23" max="16384" width="9.140625" style="5"/>
  </cols>
  <sheetData>
    <row r="1" spans="2:17" ht="15" x14ac:dyDescent="0.2">
      <c r="B1" s="206"/>
    </row>
    <row r="2" spans="2:17" ht="15" x14ac:dyDescent="0.2">
      <c r="B2" s="248" t="s">
        <v>298</v>
      </c>
      <c r="C2" s="248"/>
      <c r="D2" s="248"/>
      <c r="E2" s="248"/>
      <c r="F2" s="248"/>
      <c r="G2" s="248"/>
      <c r="H2" s="248"/>
      <c r="I2" s="248"/>
      <c r="J2" s="248"/>
      <c r="K2" s="248"/>
      <c r="L2" s="248"/>
    </row>
    <row r="3" spans="2:17" ht="15" x14ac:dyDescent="0.2">
      <c r="B3" s="248" t="s">
        <v>339</v>
      </c>
      <c r="C3" s="248"/>
      <c r="D3" s="248"/>
      <c r="E3" s="248"/>
      <c r="F3" s="248"/>
      <c r="G3" s="248"/>
      <c r="H3" s="248"/>
      <c r="I3" s="248"/>
      <c r="J3" s="248"/>
      <c r="K3" s="248"/>
      <c r="L3" s="248"/>
    </row>
    <row r="4" spans="2:17" ht="15" x14ac:dyDescent="0.2">
      <c r="B4" s="224" t="s">
        <v>237</v>
      </c>
      <c r="C4" s="224"/>
      <c r="D4" s="224"/>
      <c r="E4" s="224"/>
      <c r="F4" s="224"/>
      <c r="G4" s="224"/>
      <c r="H4" s="224"/>
      <c r="I4" s="224"/>
      <c r="J4" s="224"/>
      <c r="K4" s="224"/>
      <c r="L4" s="224"/>
    </row>
    <row r="5" spans="2:17" ht="15" x14ac:dyDescent="0.2">
      <c r="K5" s="205"/>
    </row>
    <row r="6" spans="2:17" ht="60" x14ac:dyDescent="0.2">
      <c r="B6" s="249" t="s">
        <v>164</v>
      </c>
      <c r="C6" s="250" t="s">
        <v>212</v>
      </c>
      <c r="D6" s="174" t="s">
        <v>346</v>
      </c>
      <c r="E6" s="250" t="s">
        <v>213</v>
      </c>
      <c r="F6" s="174" t="s">
        <v>215</v>
      </c>
      <c r="G6" s="174" t="s">
        <v>347</v>
      </c>
      <c r="H6" s="174" t="s">
        <v>218</v>
      </c>
      <c r="I6" s="174" t="s">
        <v>348</v>
      </c>
      <c r="J6" s="250" t="s">
        <v>214</v>
      </c>
      <c r="K6" s="174" t="s">
        <v>219</v>
      </c>
      <c r="L6" s="174" t="s">
        <v>158</v>
      </c>
      <c r="M6" s="25"/>
      <c r="N6" s="25"/>
      <c r="O6" s="25"/>
      <c r="P6" s="25"/>
    </row>
    <row r="7" spans="2:17" s="32" customFormat="1" ht="15" x14ac:dyDescent="0.2">
      <c r="B7" s="159"/>
      <c r="C7" s="174" t="s">
        <v>349</v>
      </c>
      <c r="D7" s="251"/>
      <c r="E7" s="251"/>
      <c r="F7" s="251"/>
      <c r="G7" s="251"/>
      <c r="H7" s="251"/>
      <c r="I7" s="251"/>
      <c r="J7" s="251"/>
      <c r="K7" s="174"/>
      <c r="L7" s="252"/>
      <c r="M7" s="206"/>
      <c r="N7" s="206"/>
      <c r="O7" s="206"/>
      <c r="P7" s="206"/>
      <c r="Q7" s="206"/>
    </row>
    <row r="8" spans="2:17" x14ac:dyDescent="0.2">
      <c r="B8" s="159">
        <v>1</v>
      </c>
      <c r="C8" s="159"/>
      <c r="D8" s="179"/>
      <c r="E8" s="179"/>
      <c r="F8" s="179"/>
      <c r="G8" s="179"/>
      <c r="H8" s="179"/>
      <c r="I8" s="179"/>
      <c r="J8" s="179"/>
      <c r="K8" s="179"/>
      <c r="L8" s="179"/>
    </row>
    <row r="9" spans="2:17" x14ac:dyDescent="0.2">
      <c r="B9" s="159">
        <v>2</v>
      </c>
      <c r="C9" s="159"/>
      <c r="D9" s="179"/>
      <c r="E9" s="179"/>
      <c r="F9" s="179"/>
      <c r="G9" s="179"/>
      <c r="H9" s="179"/>
      <c r="I9" s="179"/>
      <c r="J9" s="179"/>
      <c r="K9" s="179"/>
      <c r="L9" s="179"/>
    </row>
    <row r="10" spans="2:17" x14ac:dyDescent="0.2">
      <c r="B10" s="159">
        <v>3</v>
      </c>
      <c r="C10" s="159"/>
      <c r="D10" s="179"/>
      <c r="E10" s="179"/>
      <c r="F10" s="179"/>
      <c r="G10" s="179"/>
      <c r="H10" s="179"/>
      <c r="I10" s="179"/>
      <c r="J10" s="179"/>
      <c r="K10" s="179"/>
      <c r="L10" s="179"/>
    </row>
    <row r="11" spans="2:17" x14ac:dyDescent="0.2">
      <c r="B11" s="179"/>
      <c r="C11" s="179" t="s">
        <v>9</v>
      </c>
      <c r="D11" s="179"/>
      <c r="E11" s="179"/>
      <c r="F11" s="179"/>
      <c r="G11" s="179"/>
      <c r="H11" s="179"/>
      <c r="I11" s="179"/>
      <c r="J11" s="179"/>
      <c r="K11" s="179"/>
      <c r="L11" s="179"/>
    </row>
    <row r="12" spans="2:17" ht="15" x14ac:dyDescent="0.2">
      <c r="B12" s="179"/>
      <c r="C12" s="250" t="s">
        <v>123</v>
      </c>
      <c r="D12" s="179"/>
      <c r="E12" s="179"/>
      <c r="F12" s="179"/>
      <c r="G12" s="179"/>
      <c r="H12" s="179"/>
      <c r="I12" s="179"/>
      <c r="J12" s="179"/>
      <c r="K12" s="179"/>
      <c r="L12" s="179"/>
    </row>
    <row r="13" spans="2:17" ht="15" x14ac:dyDescent="0.2">
      <c r="B13" s="159"/>
      <c r="C13" s="174" t="s">
        <v>350</v>
      </c>
      <c r="D13" s="179"/>
      <c r="E13" s="179"/>
      <c r="F13" s="179"/>
      <c r="G13" s="179"/>
      <c r="H13" s="179"/>
      <c r="I13" s="179"/>
      <c r="J13" s="179"/>
      <c r="K13" s="179"/>
      <c r="L13" s="179"/>
    </row>
    <row r="14" spans="2:17" ht="15" customHeight="1" x14ac:dyDescent="0.2">
      <c r="B14" s="159">
        <v>1</v>
      </c>
      <c r="C14" s="159"/>
      <c r="D14" s="179"/>
      <c r="E14" s="179"/>
      <c r="F14" s="179"/>
      <c r="G14" s="179"/>
      <c r="H14" s="179"/>
      <c r="I14" s="179"/>
      <c r="J14" s="179"/>
      <c r="K14" s="179"/>
      <c r="L14" s="179"/>
    </row>
    <row r="15" spans="2:17" x14ac:dyDescent="0.2">
      <c r="B15" s="159">
        <v>2</v>
      </c>
      <c r="C15" s="159"/>
      <c r="D15" s="179"/>
      <c r="E15" s="179"/>
      <c r="F15" s="179"/>
      <c r="G15" s="179"/>
      <c r="H15" s="179"/>
      <c r="I15" s="179"/>
      <c r="J15" s="179"/>
      <c r="K15" s="179"/>
      <c r="L15" s="179"/>
    </row>
    <row r="16" spans="2:17" x14ac:dyDescent="0.2">
      <c r="B16" s="159">
        <v>3</v>
      </c>
      <c r="C16" s="159"/>
      <c r="D16" s="179"/>
      <c r="E16" s="179"/>
      <c r="F16" s="179"/>
      <c r="G16" s="179"/>
      <c r="H16" s="179"/>
      <c r="I16" s="179"/>
      <c r="J16" s="179"/>
      <c r="K16" s="179"/>
      <c r="L16" s="179"/>
    </row>
    <row r="17" spans="2:12" x14ac:dyDescent="0.2">
      <c r="B17" s="179"/>
      <c r="C17" s="179" t="s">
        <v>9</v>
      </c>
      <c r="D17" s="179"/>
      <c r="E17" s="179"/>
      <c r="F17" s="179"/>
      <c r="G17" s="179"/>
      <c r="H17" s="179"/>
      <c r="I17" s="179"/>
      <c r="J17" s="179"/>
      <c r="K17" s="179"/>
      <c r="L17" s="179"/>
    </row>
    <row r="18" spans="2:12" ht="15" x14ac:dyDescent="0.2">
      <c r="B18" s="179"/>
      <c r="C18" s="250" t="s">
        <v>123</v>
      </c>
      <c r="D18" s="179"/>
      <c r="E18" s="179"/>
      <c r="F18" s="179"/>
      <c r="G18" s="179"/>
      <c r="H18" s="179"/>
      <c r="I18" s="179"/>
      <c r="J18" s="179"/>
      <c r="K18" s="179"/>
      <c r="L18" s="179"/>
    </row>
    <row r="19" spans="2:12" ht="15" x14ac:dyDescent="0.2">
      <c r="B19" s="159"/>
      <c r="C19" s="174" t="s">
        <v>351</v>
      </c>
      <c r="D19" s="179"/>
      <c r="E19" s="179"/>
      <c r="F19" s="179"/>
      <c r="G19" s="179"/>
      <c r="H19" s="179"/>
      <c r="I19" s="179"/>
      <c r="J19" s="179"/>
      <c r="K19" s="179"/>
      <c r="L19" s="179"/>
    </row>
    <row r="20" spans="2:12" x14ac:dyDescent="0.2">
      <c r="B20" s="159">
        <v>1</v>
      </c>
      <c r="C20" s="159"/>
      <c r="D20" s="179"/>
      <c r="E20" s="179"/>
      <c r="F20" s="179"/>
      <c r="G20" s="179"/>
      <c r="H20" s="179"/>
      <c r="I20" s="179"/>
      <c r="J20" s="179"/>
      <c r="K20" s="179"/>
      <c r="L20" s="179"/>
    </row>
    <row r="21" spans="2:12" x14ac:dyDescent="0.2">
      <c r="B21" s="159">
        <v>2</v>
      </c>
      <c r="C21" s="159"/>
      <c r="D21" s="179"/>
      <c r="E21" s="179"/>
      <c r="F21" s="179"/>
      <c r="G21" s="179"/>
      <c r="H21" s="179"/>
      <c r="I21" s="179"/>
      <c r="J21" s="179"/>
      <c r="K21" s="179"/>
      <c r="L21" s="179"/>
    </row>
    <row r="22" spans="2:12" x14ac:dyDescent="0.2">
      <c r="B22" s="159">
        <v>3</v>
      </c>
      <c r="C22" s="159"/>
      <c r="D22" s="179"/>
      <c r="E22" s="179"/>
      <c r="F22" s="179"/>
      <c r="G22" s="179"/>
      <c r="H22" s="179"/>
      <c r="I22" s="179"/>
      <c r="J22" s="179"/>
      <c r="K22" s="179"/>
      <c r="L22" s="179"/>
    </row>
    <row r="23" spans="2:12" x14ac:dyDescent="0.2">
      <c r="B23" s="179"/>
      <c r="C23" s="179" t="s">
        <v>9</v>
      </c>
      <c r="D23" s="179"/>
      <c r="E23" s="179"/>
      <c r="F23" s="179"/>
      <c r="G23" s="179"/>
      <c r="H23" s="179"/>
      <c r="I23" s="179"/>
      <c r="J23" s="179"/>
      <c r="K23" s="179"/>
      <c r="L23" s="179"/>
    </row>
    <row r="24" spans="2:12" ht="15" x14ac:dyDescent="0.2">
      <c r="B24" s="179"/>
      <c r="C24" s="250" t="s">
        <v>123</v>
      </c>
      <c r="D24" s="179"/>
      <c r="E24" s="179"/>
      <c r="F24" s="179"/>
      <c r="G24" s="179"/>
      <c r="H24" s="179"/>
      <c r="I24" s="179"/>
      <c r="J24" s="179"/>
      <c r="K24" s="179"/>
      <c r="L24" s="179"/>
    </row>
    <row r="25" spans="2:12" x14ac:dyDescent="0.2">
      <c r="B25" s="61" t="s">
        <v>216</v>
      </c>
      <c r="C25" s="50" t="s">
        <v>217</v>
      </c>
    </row>
  </sheetData>
  <mergeCells count="3">
    <mergeCell ref="B2:L2"/>
    <mergeCell ref="B3:L3"/>
    <mergeCell ref="B4:L4"/>
  </mergeCells>
  <pageMargins left="0.27" right="0.25" top="1" bottom="1" header="0.25" footer="0.25"/>
  <pageSetup paperSize="9" scale="57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1"/>
  <sheetViews>
    <sheetView showGridLines="0" view="pageBreakPreview" zoomScaleSheetLayoutView="100" workbookViewId="0">
      <selection activeCell="I21" sqref="I21"/>
    </sheetView>
  </sheetViews>
  <sheetFormatPr defaultColWidth="9.28515625" defaultRowHeight="14.25" x14ac:dyDescent="0.2"/>
  <cols>
    <col min="1" max="2" width="9.28515625" style="84"/>
    <col min="3" max="3" width="42" style="84" customWidth="1"/>
    <col min="4" max="4" width="16.28515625" style="84" customWidth="1"/>
    <col min="5" max="5" width="12.5703125" style="84" customWidth="1"/>
    <col min="6" max="6" width="16.28515625" style="84" customWidth="1"/>
    <col min="7" max="16384" width="9.28515625" style="84"/>
  </cols>
  <sheetData>
    <row r="2" spans="2:6" ht="15" x14ac:dyDescent="0.2">
      <c r="D2" s="32" t="s">
        <v>298</v>
      </c>
    </row>
    <row r="3" spans="2:6" ht="15" x14ac:dyDescent="0.2">
      <c r="D3" s="32" t="str">
        <f>'F1'!$F$3</f>
        <v>Pulichinthala HES</v>
      </c>
    </row>
    <row r="4" spans="2:6" ht="15" x14ac:dyDescent="0.2">
      <c r="D4" s="35" t="s">
        <v>261</v>
      </c>
    </row>
    <row r="6" spans="2:6" ht="15" customHeight="1" x14ac:dyDescent="0.2">
      <c r="B6" s="219" t="s">
        <v>164</v>
      </c>
      <c r="C6" s="231" t="s">
        <v>14</v>
      </c>
      <c r="D6" s="219" t="s">
        <v>299</v>
      </c>
      <c r="E6" s="115" t="s">
        <v>327</v>
      </c>
      <c r="F6" s="15" t="s">
        <v>326</v>
      </c>
    </row>
    <row r="7" spans="2:6" ht="15" x14ac:dyDescent="0.2">
      <c r="B7" s="219"/>
      <c r="C7" s="231"/>
      <c r="D7" s="219"/>
      <c r="E7" s="15" t="s">
        <v>205</v>
      </c>
      <c r="F7" s="15" t="s">
        <v>195</v>
      </c>
    </row>
    <row r="8" spans="2:6" ht="15" x14ac:dyDescent="0.2">
      <c r="B8" s="219"/>
      <c r="C8" s="231"/>
      <c r="D8" s="85" t="s">
        <v>3</v>
      </c>
      <c r="E8" s="15" t="s">
        <v>5</v>
      </c>
      <c r="F8" s="15" t="s">
        <v>8</v>
      </c>
    </row>
    <row r="9" spans="2:6" ht="15" x14ac:dyDescent="0.2">
      <c r="B9" s="86">
        <v>1</v>
      </c>
      <c r="C9" s="28" t="s">
        <v>262</v>
      </c>
      <c r="D9" s="92">
        <f>F3.1!H12</f>
        <v>0</v>
      </c>
      <c r="E9" s="92">
        <f>F3.1!H18</f>
        <v>0</v>
      </c>
      <c r="F9" s="92">
        <f>F3.1!H24</f>
        <v>0</v>
      </c>
    </row>
    <row r="10" spans="2:6" x14ac:dyDescent="0.2">
      <c r="B10" s="28"/>
      <c r="C10" s="28"/>
      <c r="D10" s="89"/>
      <c r="E10" s="89"/>
      <c r="F10" s="89"/>
    </row>
    <row r="11" spans="2:6" ht="15" x14ac:dyDescent="0.2">
      <c r="B11" s="86">
        <v>2</v>
      </c>
      <c r="C11" s="87" t="s">
        <v>159</v>
      </c>
      <c r="D11" s="89"/>
      <c r="E11" s="89"/>
      <c r="F11" s="89"/>
    </row>
    <row r="12" spans="2:6" x14ac:dyDescent="0.2">
      <c r="B12" s="28"/>
      <c r="C12" s="28" t="s">
        <v>163</v>
      </c>
      <c r="D12" s="89"/>
      <c r="E12" s="89"/>
      <c r="F12" s="89"/>
    </row>
    <row r="13" spans="2:6" x14ac:dyDescent="0.2">
      <c r="B13" s="28"/>
      <c r="C13" s="28" t="s">
        <v>162</v>
      </c>
      <c r="D13" s="89"/>
      <c r="E13" s="89"/>
      <c r="F13" s="89"/>
    </row>
    <row r="14" spans="2:6" x14ac:dyDescent="0.2">
      <c r="B14" s="28"/>
      <c r="C14" s="28" t="s">
        <v>9</v>
      </c>
      <c r="D14" s="89"/>
      <c r="E14" s="89"/>
      <c r="F14" s="89"/>
    </row>
    <row r="15" spans="2:6" ht="15" x14ac:dyDescent="0.2">
      <c r="B15" s="28"/>
      <c r="C15" s="87" t="s">
        <v>157</v>
      </c>
      <c r="D15" s="92">
        <f>SUM(D12:D14)</f>
        <v>0</v>
      </c>
      <c r="E15" s="92">
        <f>SUM(E12:E14)</f>
        <v>0</v>
      </c>
      <c r="F15" s="92">
        <f>SUM(F12:F14)</f>
        <v>0</v>
      </c>
    </row>
    <row r="16" spans="2:6" x14ac:dyDescent="0.2">
      <c r="B16" s="28"/>
      <c r="C16" s="28"/>
      <c r="D16" s="89"/>
      <c r="E16" s="89"/>
      <c r="F16" s="89"/>
    </row>
    <row r="17" spans="2:6" x14ac:dyDescent="0.2">
      <c r="B17" s="86">
        <v>3</v>
      </c>
      <c r="C17" s="28" t="s">
        <v>0</v>
      </c>
      <c r="D17" s="89"/>
      <c r="E17" s="89"/>
      <c r="F17" s="89"/>
    </row>
    <row r="18" spans="2:6" x14ac:dyDescent="0.2">
      <c r="B18" s="86">
        <v>4</v>
      </c>
      <c r="C18" s="28" t="s">
        <v>160</v>
      </c>
      <c r="D18" s="89">
        <f>D9</f>
        <v>0</v>
      </c>
      <c r="E18" s="89">
        <f>E9</f>
        <v>0</v>
      </c>
      <c r="F18" s="89">
        <f>F9</f>
        <v>0</v>
      </c>
    </row>
    <row r="19" spans="2:6" x14ac:dyDescent="0.2">
      <c r="B19" s="86">
        <v>5</v>
      </c>
      <c r="C19" s="28" t="s">
        <v>263</v>
      </c>
      <c r="D19" s="89"/>
      <c r="E19" s="89"/>
      <c r="F19" s="89"/>
    </row>
    <row r="20" spans="2:6" ht="15" x14ac:dyDescent="0.2">
      <c r="B20" s="28"/>
      <c r="C20" s="28"/>
      <c r="D20" s="90"/>
      <c r="E20" s="90"/>
      <c r="F20" s="90"/>
    </row>
    <row r="21" spans="2:6" ht="15" x14ac:dyDescent="0.2">
      <c r="B21" s="86">
        <v>6</v>
      </c>
      <c r="C21" s="87" t="s">
        <v>264</v>
      </c>
      <c r="D21" s="92">
        <f>D15+D17+D18+D19</f>
        <v>0</v>
      </c>
      <c r="E21" s="92">
        <f>SUM(E18:E20)</f>
        <v>0</v>
      </c>
      <c r="F21" s="92">
        <f>F15+F17+F18+F19</f>
        <v>0</v>
      </c>
    </row>
  </sheetData>
  <mergeCells count="3">
    <mergeCell ref="D6:D7"/>
    <mergeCell ref="B6:B8"/>
    <mergeCell ref="C6:C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2</vt:i4>
      </vt:variant>
    </vt:vector>
  </HeadingPairs>
  <TitlesOfParts>
    <vt:vector size="19" baseType="lpstr">
      <vt:lpstr>Checklist</vt:lpstr>
      <vt:lpstr>F1</vt:lpstr>
      <vt:lpstr>F2</vt:lpstr>
      <vt:lpstr>F2.1</vt:lpstr>
      <vt:lpstr>F2.2</vt:lpstr>
      <vt:lpstr>F2.3</vt:lpstr>
      <vt:lpstr>F3</vt:lpstr>
      <vt:lpstr>F3.1</vt:lpstr>
      <vt:lpstr>F3.2</vt:lpstr>
      <vt:lpstr>F4</vt:lpstr>
      <vt:lpstr>F5</vt:lpstr>
      <vt:lpstr>F6</vt:lpstr>
      <vt:lpstr>F7</vt:lpstr>
      <vt:lpstr>F8</vt:lpstr>
      <vt:lpstr>F9</vt:lpstr>
      <vt:lpstr>F13</vt:lpstr>
      <vt:lpstr>F15</vt:lpstr>
      <vt:lpstr>Checklist!Print_Area</vt:lpstr>
      <vt:lpstr>'F7'!Print_Area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Palaniappan M</dc:creator>
  <cp:lastModifiedBy>AE COMMERCIAL</cp:lastModifiedBy>
  <cp:lastPrinted>2025-11-28T13:26:28Z</cp:lastPrinted>
  <dcterms:created xsi:type="dcterms:W3CDTF">2004-07-28T05:30:50Z</dcterms:created>
  <dcterms:modified xsi:type="dcterms:W3CDTF">2025-12-16T11:25:11Z</dcterms:modified>
</cp:coreProperties>
</file>